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7680" windowHeight="9105" tabRatio="875" firstSheet="13" activeTab="13"/>
  </bookViews>
  <sheets>
    <sheet name="Справочная информация" sheetId="23" state="hidden" r:id="rId1"/>
    <sheet name=" накл. расходы2017 " sheetId="8" state="hidden" r:id="rId2"/>
    <sheet name="Расчет доп. ФОТ " sheetId="16" state="hidden" r:id="rId3"/>
    <sheet name="з.пл. за 1 мин. " sheetId="4" state="hidden" r:id="rId4"/>
    <sheet name="зпл.дезинф." sheetId="21" state="hidden" r:id="rId5"/>
    <sheet name="зпл дезинс" sheetId="19" state="hidden" r:id="rId6"/>
    <sheet name="зпл.дерат." sheetId="5" state="hidden" r:id="rId7"/>
    <sheet name=" план.кальк.дезинф" sheetId="20" state="hidden" r:id="rId8"/>
    <sheet name=" план.каль.дезинс." sheetId="18" state="hidden" r:id="rId9"/>
    <sheet name=" план. кальк.дерат" sheetId="17" state="hidden" r:id="rId10"/>
    <sheet name="З.П.Упр и всп пер" sheetId="24" state="hidden" r:id="rId11"/>
    <sheet name="транспорт" sheetId="25" state="hidden" r:id="rId12"/>
    <sheet name="нора расх мат" sheetId="26" state="hidden" r:id="rId13"/>
    <sheet name="прейскурант" sheetId="27" r:id="rId14"/>
    <sheet name="прейскурант 2" sheetId="28" state="hidden" r:id="rId15"/>
  </sheets>
  <definedNames>
    <definedName name="_xlnm.Print_Area" localSheetId="1">' накл. расходы2017 '!$A$1:$J$37</definedName>
  </definedNames>
  <calcPr calcId="125725" fullPrecision="0"/>
</workbook>
</file>

<file path=xl/calcChain.xml><?xml version="1.0" encoding="utf-8"?>
<calcChain xmlns="http://schemas.openxmlformats.org/spreadsheetml/2006/main">
  <c r="M21" i="17"/>
  <c r="M22"/>
  <c r="M23"/>
  <c r="M24"/>
  <c r="M25"/>
  <c r="M26"/>
  <c r="M27"/>
  <c r="M28"/>
  <c r="M20"/>
  <c r="M14"/>
  <c r="M15"/>
  <c r="M16"/>
  <c r="M17"/>
  <c r="M13"/>
  <c r="M31" i="18"/>
  <c r="M32"/>
  <c r="M33"/>
  <c r="M34"/>
  <c r="M35"/>
  <c r="M36"/>
  <c r="M37"/>
  <c r="M38"/>
  <c r="M30"/>
  <c r="M27"/>
  <c r="M28"/>
  <c r="M26"/>
  <c r="M19"/>
  <c r="M20"/>
  <c r="M21"/>
  <c r="M22"/>
  <c r="M18"/>
  <c r="M14"/>
  <c r="M15"/>
  <c r="M16"/>
  <c r="M13"/>
  <c r="M34" i="20"/>
  <c r="M35"/>
  <c r="M36"/>
  <c r="M33"/>
  <c r="M31"/>
  <c r="M30"/>
  <c r="M23"/>
  <c r="M24"/>
  <c r="M25"/>
  <c r="M26"/>
  <c r="M27"/>
  <c r="M28"/>
  <c r="M22"/>
  <c r="M14"/>
  <c r="M15"/>
  <c r="M16"/>
  <c r="M17"/>
  <c r="M18"/>
  <c r="M19"/>
  <c r="M20"/>
  <c r="M13"/>
  <c r="H21" i="17"/>
  <c r="H22"/>
  <c r="H23"/>
  <c r="H24"/>
  <c r="H25"/>
  <c r="H26"/>
  <c r="H27"/>
  <c r="H28"/>
  <c r="H20"/>
  <c r="H14"/>
  <c r="H15"/>
  <c r="H16"/>
  <c r="H17"/>
  <c r="H13"/>
  <c r="H31" i="18"/>
  <c r="H32"/>
  <c r="H33"/>
  <c r="H34"/>
  <c r="H35"/>
  <c r="H36"/>
  <c r="H37"/>
  <c r="H38"/>
  <c r="H30"/>
  <c r="H27"/>
  <c r="H28"/>
  <c r="H26"/>
  <c r="H19"/>
  <c r="H20"/>
  <c r="H21"/>
  <c r="H22"/>
  <c r="H18"/>
  <c r="H14"/>
  <c r="H15"/>
  <c r="H16"/>
  <c r="H13"/>
  <c r="H34" i="20"/>
  <c r="H35"/>
  <c r="H36"/>
  <c r="H33"/>
  <c r="H31"/>
  <c r="H30"/>
  <c r="H23"/>
  <c r="H24"/>
  <c r="H25"/>
  <c r="H26"/>
  <c r="H27"/>
  <c r="H28"/>
  <c r="H22"/>
  <c r="H14"/>
  <c r="H15"/>
  <c r="H16"/>
  <c r="H17"/>
  <c r="H18"/>
  <c r="H19"/>
  <c r="H20"/>
  <c r="H13"/>
  <c r="C32" i="8"/>
  <c r="F14" i="4"/>
  <c r="F13"/>
  <c r="C16" i="8" l="1"/>
  <c r="C33"/>
  <c r="C13"/>
  <c r="C12"/>
  <c r="C11"/>
  <c r="C10" s="1"/>
  <c r="G24" i="17"/>
  <c r="G14"/>
  <c r="E24"/>
  <c r="E25"/>
  <c r="E14"/>
  <c r="G14" i="18"/>
  <c r="E14"/>
  <c r="G26" i="20"/>
  <c r="G27"/>
  <c r="G14"/>
  <c r="E26"/>
  <c r="E27"/>
  <c r="E14"/>
  <c r="E10" i="24"/>
  <c r="E13"/>
  <c r="E12"/>
  <c r="E11"/>
  <c r="E8"/>
  <c r="E7"/>
  <c r="E6"/>
  <c r="E9"/>
  <c r="E27"/>
  <c r="E14"/>
  <c r="E31"/>
  <c r="E32"/>
  <c r="E33"/>
  <c r="E30"/>
  <c r="E29"/>
  <c r="E28"/>
  <c r="E26"/>
  <c r="E24"/>
  <c r="E23"/>
  <c r="E22"/>
  <c r="E21"/>
  <c r="E20"/>
  <c r="E19"/>
  <c r="E34" s="1"/>
  <c r="E25"/>
  <c r="G71" i="27"/>
  <c r="F71"/>
  <c r="J14" i="4"/>
  <c r="J13"/>
  <c r="H15" i="24"/>
  <c r="G34"/>
  <c r="D15"/>
  <c r="I14" i="4"/>
  <c r="K14" s="1"/>
  <c r="L14" s="1"/>
  <c r="I13"/>
  <c r="K13" s="1"/>
  <c r="L13" s="1"/>
  <c r="G13" s="1"/>
  <c r="E10" i="21" s="1"/>
  <c r="M14" i="23"/>
  <c r="M15"/>
  <c r="M16"/>
  <c r="M19"/>
  <c r="M20"/>
  <c r="M21"/>
  <c r="M22"/>
  <c r="M23"/>
  <c r="M25"/>
  <c r="M28"/>
  <c r="M29"/>
  <c r="M30"/>
  <c r="M32"/>
  <c r="M33"/>
  <c r="M34"/>
  <c r="M37"/>
  <c r="M38"/>
  <c r="M39"/>
  <c r="M41"/>
  <c r="M42"/>
  <c r="M43"/>
  <c r="M44"/>
  <c r="M45"/>
  <c r="M46"/>
  <c r="M47"/>
  <c r="M48"/>
  <c r="M50"/>
  <c r="M56"/>
  <c r="M57"/>
  <c r="M58"/>
  <c r="M59"/>
  <c r="M60"/>
  <c r="M61"/>
  <c r="M63"/>
  <c r="M64"/>
  <c r="M65"/>
  <c r="M66"/>
  <c r="M69"/>
  <c r="M70"/>
  <c r="M72"/>
  <c r="M75"/>
  <c r="M76"/>
  <c r="M77"/>
  <c r="M78"/>
  <c r="D16" i="17"/>
  <c r="D18"/>
  <c r="H18" s="1"/>
  <c r="D21"/>
  <c r="G18"/>
  <c r="D21" i="18"/>
  <c r="D19"/>
  <c r="D23" i="20"/>
  <c r="D17"/>
  <c r="G15" i="24"/>
  <c r="H34"/>
  <c r="F34"/>
  <c r="F15"/>
  <c r="E21" i="18" l="1"/>
  <c r="G25" i="17"/>
  <c r="E17" i="20"/>
  <c r="E23"/>
  <c r="E19" i="18"/>
  <c r="G21"/>
  <c r="E16" i="17"/>
  <c r="G16" s="1"/>
  <c r="E21"/>
  <c r="G14" i="4"/>
  <c r="E20" i="5" s="1"/>
  <c r="F20" s="1"/>
  <c r="D28" i="17" s="1"/>
  <c r="E11" i="19"/>
  <c r="F11" s="1"/>
  <c r="D15" i="18" s="1"/>
  <c r="E23" i="21"/>
  <c r="F23" s="1"/>
  <c r="D31" i="20" s="1"/>
  <c r="E10" i="19"/>
  <c r="F10" s="1"/>
  <c r="D13" i="18" s="1"/>
  <c r="E24" i="19"/>
  <c r="F24" s="1"/>
  <c r="D32" i="18" s="1"/>
  <c r="E18" i="19"/>
  <c r="F18" s="1"/>
  <c r="D26" i="18" s="1"/>
  <c r="E26" i="19"/>
  <c r="F26" s="1"/>
  <c r="D34" i="18" s="1"/>
  <c r="E16" i="5"/>
  <c r="F16" s="1"/>
  <c r="D22" i="17" s="1"/>
  <c r="E19" i="5"/>
  <c r="F19" s="1"/>
  <c r="D27" i="17" s="1"/>
  <c r="E19" i="21"/>
  <c r="F19" s="1"/>
  <c r="D25" i="20" s="1"/>
  <c r="E27" i="19"/>
  <c r="F27" s="1"/>
  <c r="D35" i="18" s="1"/>
  <c r="E13" i="21"/>
  <c r="F13" s="1"/>
  <c r="D18" i="20" s="1"/>
  <c r="E12" i="21"/>
  <c r="F12" s="1"/>
  <c r="D16" i="20" s="1"/>
  <c r="E22" i="19"/>
  <c r="F22" s="1"/>
  <c r="D30" i="18" s="1"/>
  <c r="E15" i="5"/>
  <c r="F15" s="1"/>
  <c r="D20" i="17" s="1"/>
  <c r="E14" i="21"/>
  <c r="F14" s="1"/>
  <c r="D19" i="20" s="1"/>
  <c r="E18" i="21"/>
  <c r="F18" s="1"/>
  <c r="D24" i="20" s="1"/>
  <c r="E17" i="21"/>
  <c r="F17" s="1"/>
  <c r="D22" i="20" s="1"/>
  <c r="E27" i="21"/>
  <c r="F27" s="1"/>
  <c r="D35" i="20" s="1"/>
  <c r="E11" i="21"/>
  <c r="F11" s="1"/>
  <c r="D15" i="20" s="1"/>
  <c r="E20" i="19"/>
  <c r="F20" s="1"/>
  <c r="D28" i="18" s="1"/>
  <c r="E12" i="19"/>
  <c r="F12" s="1"/>
  <c r="D16" i="18" s="1"/>
  <c r="E22" i="21"/>
  <c r="F22" s="1"/>
  <c r="D30" i="20" s="1"/>
  <c r="E26" i="21"/>
  <c r="F26" s="1"/>
  <c r="D34" i="20" s="1"/>
  <c r="E15" i="19"/>
  <c r="F15" s="1"/>
  <c r="D20" i="18" s="1"/>
  <c r="E14" i="19"/>
  <c r="F14" s="1"/>
  <c r="D18" i="18" s="1"/>
  <c r="E25" i="19"/>
  <c r="F25" s="1"/>
  <c r="D33" i="18" s="1"/>
  <c r="E28" i="19"/>
  <c r="F28" s="1"/>
  <c r="D36" i="18" s="1"/>
  <c r="E18" i="5"/>
  <c r="F18" s="1"/>
  <c r="D26" i="17" s="1"/>
  <c r="E20" i="21"/>
  <c r="F20" s="1"/>
  <c r="D28" i="20" s="1"/>
  <c r="E30" i="19"/>
  <c r="F30" s="1"/>
  <c r="D38" i="18" s="1"/>
  <c r="E29" i="19"/>
  <c r="F29" s="1"/>
  <c r="D37" i="18" s="1"/>
  <c r="E15" i="21"/>
  <c r="F15" s="1"/>
  <c r="D20" i="20" s="1"/>
  <c r="E23" i="19"/>
  <c r="F23" s="1"/>
  <c r="D31" i="18" s="1"/>
  <c r="E12" i="5"/>
  <c r="F12" s="1"/>
  <c r="D15" i="17" s="1"/>
  <c r="E17" i="5"/>
  <c r="F17" s="1"/>
  <c r="D23" i="17" s="1"/>
  <c r="E25" i="21"/>
  <c r="F25" s="1"/>
  <c r="D33" i="20" s="1"/>
  <c r="E28" i="21"/>
  <c r="F28" s="1"/>
  <c r="D36" i="20" s="1"/>
  <c r="F10" i="21"/>
  <c r="D13" i="20" s="1"/>
  <c r="E16" i="19"/>
  <c r="F16" s="1"/>
  <c r="D22" i="18" s="1"/>
  <c r="E13" i="5"/>
  <c r="F13" s="1"/>
  <c r="D17" i="17" s="1"/>
  <c r="E11" i="5"/>
  <c r="F11" s="1"/>
  <c r="D13" i="17" s="1"/>
  <c r="E19" i="19"/>
  <c r="F19" s="1"/>
  <c r="D27" i="18" s="1"/>
  <c r="E15" i="24"/>
  <c r="C7" i="16"/>
  <c r="E10" i="20" s="1"/>
  <c r="C34" i="8" l="1"/>
  <c r="I10" i="20" s="1"/>
  <c r="I23" s="1"/>
  <c r="J23" s="1"/>
  <c r="L23" s="1"/>
  <c r="G19" i="18"/>
  <c r="G23" i="20"/>
  <c r="G21" i="17"/>
  <c r="G17" i="20"/>
  <c r="E17" i="17"/>
  <c r="E13"/>
  <c r="E22" i="18"/>
  <c r="G22" s="1"/>
  <c r="E36" i="20"/>
  <c r="E23" i="17"/>
  <c r="E31" i="18"/>
  <c r="G31"/>
  <c r="E37"/>
  <c r="G37"/>
  <c r="E28" i="20"/>
  <c r="G28" s="1"/>
  <c r="E36" i="18"/>
  <c r="G36" s="1"/>
  <c r="E18"/>
  <c r="E34" i="20"/>
  <c r="E16" i="18"/>
  <c r="G16" s="1"/>
  <c r="E15" i="20"/>
  <c r="G15"/>
  <c r="E22"/>
  <c r="E19"/>
  <c r="E30" i="18"/>
  <c r="E18" i="20"/>
  <c r="G18" s="1"/>
  <c r="E25"/>
  <c r="G25"/>
  <c r="E22" i="17"/>
  <c r="E26" i="18"/>
  <c r="G26" s="1"/>
  <c r="E13"/>
  <c r="G13"/>
  <c r="E15"/>
  <c r="G15"/>
  <c r="E27"/>
  <c r="E13" i="20"/>
  <c r="E33"/>
  <c r="G33" s="1"/>
  <c r="E15" i="17"/>
  <c r="E20" i="20"/>
  <c r="G20" s="1"/>
  <c r="E38" i="18"/>
  <c r="E26" i="17"/>
  <c r="E33" i="18"/>
  <c r="E20"/>
  <c r="G20" s="1"/>
  <c r="E30" i="20"/>
  <c r="G30" s="1"/>
  <c r="E28" i="18"/>
  <c r="E35" i="20"/>
  <c r="G35" s="1"/>
  <c r="E24"/>
  <c r="G24" s="1"/>
  <c r="E20" i="17"/>
  <c r="G20" s="1"/>
  <c r="E16" i="20"/>
  <c r="G16" s="1"/>
  <c r="E35" i="18"/>
  <c r="E27" i="17"/>
  <c r="G27" s="1"/>
  <c r="E34" i="18"/>
  <c r="E32"/>
  <c r="G32" s="1"/>
  <c r="E31" i="20"/>
  <c r="G31" s="1"/>
  <c r="E28" i="17"/>
  <c r="E10" i="18"/>
  <c r="E10" i="17"/>
  <c r="G22" i="20" l="1"/>
  <c r="G13"/>
  <c r="G30" i="18"/>
  <c r="G34" i="20"/>
  <c r="G18" i="18"/>
  <c r="I22" i="20"/>
  <c r="I31"/>
  <c r="I10" i="18"/>
  <c r="I16" i="20"/>
  <c r="I30"/>
  <c r="I20"/>
  <c r="I28"/>
  <c r="I36"/>
  <c r="I17"/>
  <c r="J17" s="1"/>
  <c r="L17" s="1"/>
  <c r="N17" s="1"/>
  <c r="P17" s="1"/>
  <c r="Q17" s="1"/>
  <c r="I18"/>
  <c r="I26"/>
  <c r="I24"/>
  <c r="I35"/>
  <c r="I33"/>
  <c r="I13"/>
  <c r="I25"/>
  <c r="I19"/>
  <c r="I15"/>
  <c r="I34"/>
  <c r="I14"/>
  <c r="J14" s="1"/>
  <c r="L14" s="1"/>
  <c r="I27"/>
  <c r="I14" i="18"/>
  <c r="I19"/>
  <c r="I21"/>
  <c r="I35"/>
  <c r="I28"/>
  <c r="I33"/>
  <c r="I27"/>
  <c r="I15"/>
  <c r="I26"/>
  <c r="I16"/>
  <c r="I36"/>
  <c r="I31"/>
  <c r="I32"/>
  <c r="I34"/>
  <c r="I20"/>
  <c r="I38"/>
  <c r="I13"/>
  <c r="I30"/>
  <c r="I18"/>
  <c r="I37"/>
  <c r="I22"/>
  <c r="G28"/>
  <c r="G34"/>
  <c r="G35"/>
  <c r="G33"/>
  <c r="G38"/>
  <c r="G28" i="17"/>
  <c r="G26"/>
  <c r="G15"/>
  <c r="G27" i="18"/>
  <c r="G22" i="17"/>
  <c r="G19" i="20"/>
  <c r="G23" i="17"/>
  <c r="G36" i="20"/>
  <c r="G13" i="17"/>
  <c r="G17"/>
  <c r="N23" i="20"/>
  <c r="P23" s="1"/>
  <c r="Q23" s="1"/>
  <c r="F16"/>
  <c r="J16" s="1"/>
  <c r="L16" s="1"/>
  <c r="F13"/>
  <c r="J13" s="1"/>
  <c r="L13" s="1"/>
  <c r="N14"/>
  <c r="F15"/>
  <c r="J15" s="1"/>
  <c r="L15" s="1"/>
  <c r="I10" i="17"/>
  <c r="J19" i="18"/>
  <c r="L19" s="1"/>
  <c r="J14"/>
  <c r="L14" s="1"/>
  <c r="F36" i="20"/>
  <c r="J36" s="1"/>
  <c r="L36" s="1"/>
  <c r="F33"/>
  <c r="J33" s="1"/>
  <c r="L33" s="1"/>
  <c r="N19" i="18"/>
  <c r="P19" s="1"/>
  <c r="Q19" s="1"/>
  <c r="F35" i="20"/>
  <c r="J35" s="1"/>
  <c r="L35" s="1"/>
  <c r="F30"/>
  <c r="J30" s="1"/>
  <c r="L30" s="1"/>
  <c r="F20"/>
  <c r="J20" s="1"/>
  <c r="L20" s="1"/>
  <c r="F19"/>
  <c r="J19" s="1"/>
  <c r="L19" s="1"/>
  <c r="F30" i="18"/>
  <c r="J30" s="1"/>
  <c r="L30" s="1"/>
  <c r="F18"/>
  <c r="J18" s="1"/>
  <c r="L18" s="1"/>
  <c r="N18" s="1"/>
  <c r="F34" i="20"/>
  <c r="J34" s="1"/>
  <c r="L34" s="1"/>
  <c r="F18"/>
  <c r="J18" s="1"/>
  <c r="L18" s="1"/>
  <c r="F24"/>
  <c r="J24" s="1"/>
  <c r="L24" s="1"/>
  <c r="F28"/>
  <c r="J28" s="1"/>
  <c r="L28" s="1"/>
  <c r="F15" i="17"/>
  <c r="F31" i="20"/>
  <c r="J31" s="1"/>
  <c r="L31" s="1"/>
  <c r="F13" i="18"/>
  <c r="J13" s="1"/>
  <c r="L13" s="1"/>
  <c r="F25" i="20"/>
  <c r="J25" s="1"/>
  <c r="L25" s="1"/>
  <c r="F22"/>
  <c r="J22" s="1"/>
  <c r="L22" s="1"/>
  <c r="I25" i="17" l="1"/>
  <c r="I24"/>
  <c r="I14"/>
  <c r="I16"/>
  <c r="I21"/>
  <c r="J21" s="1"/>
  <c r="L21" s="1"/>
  <c r="N21" s="1"/>
  <c r="P21" s="1"/>
  <c r="Q21" s="1"/>
  <c r="I17"/>
  <c r="I13"/>
  <c r="I23"/>
  <c r="I15"/>
  <c r="I26"/>
  <c r="I20"/>
  <c r="I27"/>
  <c r="I28"/>
  <c r="I22"/>
  <c r="N30" i="20"/>
  <c r="P30" s="1"/>
  <c r="Q30" s="1"/>
  <c r="N24"/>
  <c r="P24" s="1"/>
  <c r="Q24" s="1"/>
  <c r="N30" i="18"/>
  <c r="P30" s="1"/>
  <c r="Q30" s="1"/>
  <c r="N13"/>
  <c r="P13" s="1"/>
  <c r="Q13" s="1"/>
  <c r="N14"/>
  <c r="P14" s="1"/>
  <c r="Q14" s="1"/>
  <c r="J14" i="17"/>
  <c r="L14" s="1"/>
  <c r="J16"/>
  <c r="L16" s="1"/>
  <c r="I18"/>
  <c r="J18" s="1"/>
  <c r="L18" s="1"/>
  <c r="M18" s="1"/>
  <c r="N18" s="1"/>
  <c r="P18" s="1"/>
  <c r="Q18" s="1"/>
  <c r="N33" i="20"/>
  <c r="P33" s="1"/>
  <c r="Q33" s="1"/>
  <c r="N25"/>
  <c r="P25" s="1"/>
  <c r="Q25" s="1"/>
  <c r="N31"/>
  <c r="P31" s="1"/>
  <c r="Q31" s="1"/>
  <c r="N28"/>
  <c r="P28" s="1"/>
  <c r="Q28" s="1"/>
  <c r="N34"/>
  <c r="P34" s="1"/>
  <c r="Q34" s="1"/>
  <c r="N35"/>
  <c r="P35" s="1"/>
  <c r="Q35" s="1"/>
  <c r="N36"/>
  <c r="P36" s="1"/>
  <c r="Q36" s="1"/>
  <c r="P14"/>
  <c r="Q14" s="1"/>
  <c r="N15"/>
  <c r="N13"/>
  <c r="N16"/>
  <c r="N19"/>
  <c r="P19" s="1"/>
  <c r="Q19" s="1"/>
  <c r="N20"/>
  <c r="P20" s="1"/>
  <c r="Q20" s="1"/>
  <c r="J15" i="17"/>
  <c r="L15" s="1"/>
  <c r="N18" i="20"/>
  <c r="P18" s="1"/>
  <c r="Q18" s="1"/>
  <c r="F22" i="18"/>
  <c r="J22" s="1"/>
  <c r="L22" s="1"/>
  <c r="N22" s="1"/>
  <c r="P22" s="1"/>
  <c r="Q22" s="1"/>
  <c r="F36"/>
  <c r="J36" s="1"/>
  <c r="L36" s="1"/>
  <c r="F13" i="17"/>
  <c r="J13" s="1"/>
  <c r="L13" s="1"/>
  <c r="F28"/>
  <c r="J28" s="1"/>
  <c r="L28" s="1"/>
  <c r="N22" i="20"/>
  <c r="P18" i="18"/>
  <c r="Q18" s="1"/>
  <c r="N36" l="1"/>
  <c r="P36" s="1"/>
  <c r="Q36" s="1"/>
  <c r="N16" i="17"/>
  <c r="P16" s="1"/>
  <c r="Q16" s="1"/>
  <c r="N14"/>
  <c r="P14" s="1"/>
  <c r="Q14" s="1"/>
  <c r="N13"/>
  <c r="P13" s="1"/>
  <c r="Q13" s="1"/>
  <c r="N28"/>
  <c r="P28" s="1"/>
  <c r="Q28" s="1"/>
  <c r="N15"/>
  <c r="P15" s="1"/>
  <c r="Q15" s="1"/>
  <c r="P13" i="20"/>
  <c r="Q13" s="1"/>
  <c r="P16"/>
  <c r="Q16" s="1"/>
  <c r="P15"/>
  <c r="Q15" s="1"/>
  <c r="F31" i="18"/>
  <c r="J31" s="1"/>
  <c r="L31" s="1"/>
  <c r="F37"/>
  <c r="J37" s="1"/>
  <c r="L37" s="1"/>
  <c r="F35"/>
  <c r="J35" s="1"/>
  <c r="L35" s="1"/>
  <c r="F34"/>
  <c r="J34" s="1"/>
  <c r="L34" s="1"/>
  <c r="F32"/>
  <c r="J32" s="1"/>
  <c r="L32" s="1"/>
  <c r="F22" i="17"/>
  <c r="J22" s="1"/>
  <c r="L22" s="1"/>
  <c r="F20"/>
  <c r="J20" s="1"/>
  <c r="L20" s="1"/>
  <c r="F27"/>
  <c r="J27" s="1"/>
  <c r="L27" s="1"/>
  <c r="F28" i="18"/>
  <c r="J28" s="1"/>
  <c r="L28" s="1"/>
  <c r="F26"/>
  <c r="J26" s="1"/>
  <c r="L26" s="1"/>
  <c r="F15"/>
  <c r="J15" s="1"/>
  <c r="L15" s="1"/>
  <c r="F38"/>
  <c r="J38" s="1"/>
  <c r="L38" s="1"/>
  <c r="F33"/>
  <c r="J33" s="1"/>
  <c r="L33" s="1"/>
  <c r="F20"/>
  <c r="J20" s="1"/>
  <c r="L20" s="1"/>
  <c r="N20" s="1"/>
  <c r="P20" s="1"/>
  <c r="Q20" s="1"/>
  <c r="F17" i="17"/>
  <c r="J17" s="1"/>
  <c r="L17" s="1"/>
  <c r="F26"/>
  <c r="J26" s="1"/>
  <c r="L26" s="1"/>
  <c r="F27" i="18"/>
  <c r="J27" s="1"/>
  <c r="L27" s="1"/>
  <c r="F16"/>
  <c r="J16" s="1"/>
  <c r="L16" s="1"/>
  <c r="F21"/>
  <c r="J21" s="1"/>
  <c r="L21" s="1"/>
  <c r="N21" s="1"/>
  <c r="P21" s="1"/>
  <c r="Q21" s="1"/>
  <c r="F23" i="17"/>
  <c r="J23" s="1"/>
  <c r="L23" s="1"/>
  <c r="P22" i="20"/>
  <c r="Q22" s="1"/>
  <c r="N16" i="18" l="1"/>
  <c r="P16" s="1"/>
  <c r="Q16" s="1"/>
  <c r="N38"/>
  <c r="P38" s="1"/>
  <c r="Q38" s="1"/>
  <c r="N27"/>
  <c r="P27" s="1"/>
  <c r="Q27" s="1"/>
  <c r="N33"/>
  <c r="P33" s="1"/>
  <c r="Q33" s="1"/>
  <c r="N15"/>
  <c r="P15" s="1"/>
  <c r="Q15" s="1"/>
  <c r="N28"/>
  <c r="P28" s="1"/>
  <c r="Q28" s="1"/>
  <c r="N32"/>
  <c r="P32" s="1"/>
  <c r="Q32" s="1"/>
  <c r="N35"/>
  <c r="P35" s="1"/>
  <c r="Q35" s="1"/>
  <c r="N31"/>
  <c r="P31" s="1"/>
  <c r="Q31" s="1"/>
  <c r="N26"/>
  <c r="P26" s="1"/>
  <c r="Q26" s="1"/>
  <c r="N34"/>
  <c r="P34" s="1"/>
  <c r="Q34" s="1"/>
  <c r="N37"/>
  <c r="P37" s="1"/>
  <c r="Q37" s="1"/>
  <c r="N23" i="17"/>
  <c r="P23" s="1"/>
  <c r="Q23" s="1"/>
  <c r="N26"/>
  <c r="P26" s="1"/>
  <c r="Q26" s="1"/>
  <c r="N27"/>
  <c r="P27" s="1"/>
  <c r="Q27" s="1"/>
  <c r="N22"/>
  <c r="P22" s="1"/>
  <c r="Q22" s="1"/>
  <c r="N17"/>
  <c r="P17" s="1"/>
  <c r="Q17" s="1"/>
  <c r="N20"/>
  <c r="P20" s="1"/>
  <c r="Q20" s="1"/>
</calcChain>
</file>

<file path=xl/comments1.xml><?xml version="1.0" encoding="utf-8"?>
<comments xmlns="http://schemas.openxmlformats.org/spreadsheetml/2006/main">
  <authors>
    <author>user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<sst xmlns="http://schemas.openxmlformats.org/spreadsheetml/2006/main" count="1158" uniqueCount="357">
  <si>
    <t>№ п/п</t>
  </si>
  <si>
    <t>Наименования статей затрат</t>
  </si>
  <si>
    <t>Себестоимость услуги</t>
  </si>
  <si>
    <t>Рентабельность к себестоимости</t>
  </si>
  <si>
    <t>Итого</t>
  </si>
  <si>
    <t>Главный бухгалтер</t>
  </si>
  <si>
    <t>УТВЕРЖДАЮ</t>
  </si>
  <si>
    <t>РАСЧЕТ</t>
  </si>
  <si>
    <t xml:space="preserve">заработной платы специалистов за одну минуту </t>
  </si>
  <si>
    <t>Должность специалиста, оказывающего платную медицинскую услугу</t>
  </si>
  <si>
    <t>Количество рабочих часов в месяц (ч)</t>
  </si>
  <si>
    <t>Заработная плата в месяц, в том числе (руб.)</t>
  </si>
  <si>
    <t>должностной оклад</t>
  </si>
  <si>
    <t>выплаты стимулирующего и компенсирующего характера в соответствии с законодательсвом</t>
  </si>
  <si>
    <t>Заработная плата за одну минуту (руб.)</t>
  </si>
  <si>
    <t xml:space="preserve">заработной платы специалистов </t>
  </si>
  <si>
    <t>Норма времени (мин)</t>
  </si>
  <si>
    <t>Заработная плата специалиста за одну минуту</t>
  </si>
  <si>
    <t>Заработная плата специалиста (гр. 3 * гр. 5)</t>
  </si>
  <si>
    <t>Единица измерения</t>
  </si>
  <si>
    <t>Всего расходов (тыс. руб.)</t>
  </si>
  <si>
    <t>Начисления на оплату труда (к пункту 1):</t>
  </si>
  <si>
    <t>2.1</t>
  </si>
  <si>
    <t>2.2</t>
  </si>
  <si>
    <t>Эксплуатационные расходы по содержанию зданий, сооружений, оборудования и т. п.</t>
  </si>
  <si>
    <t>Оплата коммунальных услуг</t>
  </si>
  <si>
    <t>В том числе:</t>
  </si>
  <si>
    <t>5.1</t>
  </si>
  <si>
    <t>5.2</t>
  </si>
  <si>
    <t>5.3</t>
  </si>
  <si>
    <t>Оплата услуг связи</t>
  </si>
  <si>
    <t>руб.</t>
  </si>
  <si>
    <t>часов в месяц</t>
  </si>
  <si>
    <t>всего з/пл. в мес.</t>
  </si>
  <si>
    <t>зарплата за 1 час</t>
  </si>
  <si>
    <t>зарплата за 1 мин.</t>
  </si>
  <si>
    <t>исследование</t>
  </si>
  <si>
    <t>Содержание</t>
  </si>
  <si>
    <t>Уровень дополнительной оплаты труда, %</t>
  </si>
  <si>
    <t>Наименование услуги</t>
  </si>
  <si>
    <t>Накладные расходы</t>
  </si>
  <si>
    <t>Тариф без НДС</t>
  </si>
  <si>
    <t>НДС</t>
  </si>
  <si>
    <t>Сумма НДС</t>
  </si>
  <si>
    <t>Тариф с учетом НДС</t>
  </si>
  <si>
    <t xml:space="preserve"> Дополнительная зарплата, руб.</t>
  </si>
  <si>
    <t>Начисления на оплату труда, руб.</t>
  </si>
  <si>
    <t>Основная зарплата, руб.</t>
  </si>
  <si>
    <t xml:space="preserve">ПЛАНОВАЯ КАЛЬКУЛЯЦИЯ </t>
  </si>
  <si>
    <t>Отчисления в Фонд социальной защиты населения Минтруда и соцзащиты РБ</t>
  </si>
  <si>
    <t>Страховой взнос по обязательному страхованию от несчастных случаев на производстве и профессиональных заболеваний</t>
  </si>
  <si>
    <r>
      <t>Примечание</t>
    </r>
    <r>
      <rPr>
        <b/>
        <sz val="10"/>
        <rFont val="Times New Roman"/>
        <family val="1"/>
        <charset val="204"/>
      </rPr>
      <t>: в ячейку 5 "E" вставить свой % доп. зарплаты; в ячейку 5 "I" вставить свой % накладных расходов</t>
    </r>
  </si>
  <si>
    <t>1.1.</t>
  </si>
  <si>
    <t>Дератизация систематическая строений (помещений), территории:</t>
  </si>
  <si>
    <t>1.1.1.</t>
  </si>
  <si>
    <t>до 100 квадратных метров</t>
  </si>
  <si>
    <t>Дезинфектор</t>
  </si>
  <si>
    <t>1.1.2.</t>
  </si>
  <si>
    <t>101–600 квадратных метров</t>
  </si>
  <si>
    <t>1.1.3.</t>
  </si>
  <si>
    <t>более 600 квадратных метров</t>
  </si>
  <si>
    <t>Дератизация  систематическая строений (помещений), территории:</t>
  </si>
  <si>
    <t>1.3.</t>
  </si>
  <si>
    <t>Дератизация  разовая строений (помещений), прилегающей территории и других объектов:</t>
  </si>
  <si>
    <t xml:space="preserve"> более 600 квадратных метров</t>
  </si>
  <si>
    <t>1.3.1.</t>
  </si>
  <si>
    <t>1.3.2.</t>
  </si>
  <si>
    <t>1.3.3.</t>
  </si>
  <si>
    <t>1.4.</t>
  </si>
  <si>
    <t>Дератизация разовая отдельных квартир</t>
  </si>
  <si>
    <t>Обработка объекта</t>
  </si>
  <si>
    <t>Обработка объекта (на каждые 100м2)</t>
  </si>
  <si>
    <t>Обработка объекта (на каждые 30 м2)</t>
  </si>
  <si>
    <t>1.5.</t>
  </si>
  <si>
    <t>Дератизация разовая индивидуальных домовладений</t>
  </si>
  <si>
    <t>Приготовление пищевой ядоприманки по заявкам населения</t>
  </si>
  <si>
    <t>Приготовление ядоприманки (на каждые 100 г)</t>
  </si>
  <si>
    <t>Лаборант</t>
  </si>
  <si>
    <t>1.7.</t>
  </si>
  <si>
    <t>по разделу: ДЕРАТИЗАЦИЯ</t>
  </si>
  <si>
    <t>2.1.</t>
  </si>
  <si>
    <t>Дезинсекция  систематическая помещений против бытовых насекомых (за исключением мух):</t>
  </si>
  <si>
    <t>2.1.1.</t>
  </si>
  <si>
    <t>по разделу: ДЕЗИНСЕКЦИЯ</t>
  </si>
  <si>
    <t>2.1.2.</t>
  </si>
  <si>
    <t>2.1.3.</t>
  </si>
  <si>
    <t>2.2.</t>
  </si>
  <si>
    <t>Дезинсекция  систематическая помещений против мух:</t>
  </si>
  <si>
    <t>2.2.1.</t>
  </si>
  <si>
    <t>2.2.2.</t>
  </si>
  <si>
    <t>2.2.3.</t>
  </si>
  <si>
    <t>2.4.</t>
  </si>
  <si>
    <t>Дезинсекция  разовая  строений, помещений и других объектов против бытовых насекомых (за исключением мух):</t>
  </si>
  <si>
    <t>2.4.1.</t>
  </si>
  <si>
    <t>2.4.2.</t>
  </si>
  <si>
    <t>2.4.3.</t>
  </si>
  <si>
    <t>2.5.</t>
  </si>
  <si>
    <t>Дезинсекция  разовая  строений, помещений и других объектов против мух:</t>
  </si>
  <si>
    <t>2.5.1.</t>
  </si>
  <si>
    <t>2.5.2.</t>
  </si>
  <si>
    <t>2.5.3.</t>
  </si>
  <si>
    <t>2.6.</t>
  </si>
  <si>
    <t>2.7.</t>
  </si>
  <si>
    <t>2.8.</t>
  </si>
  <si>
    <t>2.9.</t>
  </si>
  <si>
    <t>2.10.</t>
  </si>
  <si>
    <t>2.12.</t>
  </si>
  <si>
    <t>Противопедикулезная разовая обработка помещения</t>
  </si>
  <si>
    <t>Обработка объекта (на каждые 30м2)</t>
  </si>
  <si>
    <t>Обработка объекта (на каждые 1000м2)</t>
  </si>
  <si>
    <t xml:space="preserve">  </t>
  </si>
  <si>
    <t>3.1.</t>
  </si>
  <si>
    <t>Дезинфекция (профилактическая) систематическая автотранспорта:</t>
  </si>
  <si>
    <t>3.1.1.</t>
  </si>
  <si>
    <t>Легковой автомобиль</t>
  </si>
  <si>
    <t>3.1.2.</t>
  </si>
  <si>
    <t>Микроавтобус</t>
  </si>
  <si>
    <t>3.1.3.</t>
  </si>
  <si>
    <t>Грузовой автомобиль грузопдъемностью до 7.5 тонны</t>
  </si>
  <si>
    <t>3.1.4.</t>
  </si>
  <si>
    <t>Грузовой автомобиль грузопдъемностью более 7.5 тонны</t>
  </si>
  <si>
    <t>3.1.5.</t>
  </si>
  <si>
    <t>3.1.6.</t>
  </si>
  <si>
    <t>Прицеп</t>
  </si>
  <si>
    <t>Полуприцеп</t>
  </si>
  <si>
    <t>3.2.</t>
  </si>
  <si>
    <t>Дезинфекция разовая поверхностей помещений пищевых и непищевых объектов, жилых помещений, подъездов жилых домов:</t>
  </si>
  <si>
    <t>3.2.1.</t>
  </si>
  <si>
    <t>3.2.2.</t>
  </si>
  <si>
    <t>101–200 квадратных метров</t>
  </si>
  <si>
    <t>3.2.3.</t>
  </si>
  <si>
    <t xml:space="preserve"> более 200 квадратных метров</t>
  </si>
  <si>
    <t>3.3.</t>
  </si>
  <si>
    <t>Дезинфекция  разовая  предметов и вещей:</t>
  </si>
  <si>
    <t>3.5.</t>
  </si>
  <si>
    <t>Камерная разовая дезинфекция вещей,белья,постельных принадлежностей паровоздушным способом:</t>
  </si>
  <si>
    <t>3.5.1.</t>
  </si>
  <si>
    <t>Площадь рабочей поверхности камеры 0.9 квадратного метра</t>
  </si>
  <si>
    <t>Обработка  (на каждые 54 кг)</t>
  </si>
  <si>
    <t>3.5.2.</t>
  </si>
  <si>
    <t>Площадь рабочей поверхности камеры 2.6 квадратного метра</t>
  </si>
  <si>
    <t>Обработка  (на каждые 156 кг)</t>
  </si>
  <si>
    <t>3.7.</t>
  </si>
  <si>
    <t>Камерная разовая дезинфекция вещей,белья,постельных принадлежностей, а также профилактическая дезинфекция постельных принадлежностей  паровоздушным способом:</t>
  </si>
  <si>
    <t>3.7.1.</t>
  </si>
  <si>
    <t>3.7.2.</t>
  </si>
  <si>
    <t>3.8.</t>
  </si>
  <si>
    <t xml:space="preserve">Обработка объекта </t>
  </si>
  <si>
    <t>3.9.</t>
  </si>
  <si>
    <t>Дезинфекция разовая колодцев</t>
  </si>
  <si>
    <t>по разделу: ДЕЗИНФЕКЦИЯ (ПРОФИЛАКТИЧЕСКАЯ)</t>
  </si>
  <si>
    <t>Дезинфекция  разовая  предметов и вещей</t>
  </si>
  <si>
    <t>Дезинфекция разовая неканализованных уборных</t>
  </si>
  <si>
    <t>Дезинсекция  разовая  против  клещей и гнуса на открытых территориях</t>
  </si>
  <si>
    <t>Дезинсекция  разовая  индивидуальных  шкафчиков</t>
  </si>
  <si>
    <t>Дезинсекция  разовая  индивидуальных домовладений</t>
  </si>
  <si>
    <t>Дезинсекция  разовая  отдельных квартир</t>
  </si>
  <si>
    <t>Дезинсекция  разовая  против личинок мух в местах выплода</t>
  </si>
  <si>
    <t>Главный врач</t>
  </si>
  <si>
    <t>Дезинсекция разовая строений, помещений и других объектов против бытовых насекомых (за исключением мух):</t>
  </si>
  <si>
    <t>Налог при упрощенной системе налогообложения</t>
  </si>
  <si>
    <t>Информация</t>
  </si>
  <si>
    <t>(полное наименование юридического лица или индивидуального предпринимателя, юридический адрес )</t>
  </si>
  <si>
    <t>Тариф, в руб.</t>
  </si>
  <si>
    <t>Измене-ние в процен-тах</t>
  </si>
  <si>
    <t>утвержденный</t>
  </si>
  <si>
    <t xml:space="preserve">ранее действующий </t>
  </si>
  <si>
    <t>без учета НДС</t>
  </si>
  <si>
    <t>с учетом НДС</t>
  </si>
  <si>
    <t>1.</t>
  </si>
  <si>
    <t>Дератизация</t>
  </si>
  <si>
    <t>Дератизация систематическая  строений (помещений), территории:</t>
  </si>
  <si>
    <t>обработка объекта</t>
  </si>
  <si>
    <t>2.</t>
  </si>
  <si>
    <t>101 - 600 квадратных  метров</t>
  </si>
  <si>
    <t>обработка объекта (каждые 100  кв.м)</t>
  </si>
  <si>
    <t>3.</t>
  </si>
  <si>
    <t>более 600 квадратных  метров</t>
  </si>
  <si>
    <t>обработка объекта (каждые 100 кв.м)</t>
  </si>
  <si>
    <t>Дератизация систематическая  грузовых самолетов</t>
  </si>
  <si>
    <t>Дератизация разовая строений (помещений), прилегающей территориии других объектов:</t>
  </si>
  <si>
    <t>4.</t>
  </si>
  <si>
    <t>обработка объекта (каждые 30 кв.м)</t>
  </si>
  <si>
    <t>5.</t>
  </si>
  <si>
    <t>6.</t>
  </si>
  <si>
    <t>Дератизация разовая водного транспорта</t>
  </si>
  <si>
    <t>7.</t>
  </si>
  <si>
    <t xml:space="preserve">приготовление ядоприманки  (каждые 100 г) </t>
  </si>
  <si>
    <t>Дезинсекция</t>
  </si>
  <si>
    <t>Дезинсекция систематическая  помещений против бытовых насекомых (за исключением мух):</t>
  </si>
  <si>
    <t>Дезинсекция систематическая  помещений против мух:</t>
  </si>
  <si>
    <t>Дезинсекция систематическая  грузовых самолетов</t>
  </si>
  <si>
    <t>Дезинсекция разовая строений, помещений и других объектов против мух:</t>
  </si>
  <si>
    <t>Дезинсекция разовая отдельных квартир</t>
  </si>
  <si>
    <t>Дезинсекция разовая индивидуальных домовладений</t>
  </si>
  <si>
    <t>8.</t>
  </si>
  <si>
    <t>Дезинсекция разовая индивидуальных шкафчиков</t>
  </si>
  <si>
    <t>9.</t>
  </si>
  <si>
    <t>Дезинсекция разовая против личинок мух в  местах выплода</t>
  </si>
  <si>
    <t>10.</t>
  </si>
  <si>
    <t>Дезинсекция разовая против клещей и гнуса на открытых территориях</t>
  </si>
  <si>
    <t>обработка объекта (каждые 1000 кв.м)</t>
  </si>
  <si>
    <t>11.</t>
  </si>
  <si>
    <t>Дезинсекция разовая против личинок комаров в открытых водоемах</t>
  </si>
  <si>
    <t>12.</t>
  </si>
  <si>
    <t>13.</t>
  </si>
  <si>
    <t>Санитарная разовая обработка людей, пораженных  педикулезом:</t>
  </si>
  <si>
    <t>санация лиц,пораженных  педикулезом,механическим способом</t>
  </si>
  <si>
    <t>обработка одного  человека</t>
  </si>
  <si>
    <t>санация лиц,пораженных  педикулезом,химическим способом</t>
  </si>
  <si>
    <t>Дезинфекция (профилактическая)</t>
  </si>
  <si>
    <t xml:space="preserve">Дезинфекция (профилактическая) систематическая  автотранспорта: </t>
  </si>
  <si>
    <t>легковой автомобиль</t>
  </si>
  <si>
    <t>микроавтобус</t>
  </si>
  <si>
    <t>грузовой автомобиль грузоподъемностью до  7,5 тонны</t>
  </si>
  <si>
    <t xml:space="preserve">грузовой автомобиль грузоподъемностью более 7,5 тонны </t>
  </si>
  <si>
    <t>прицеп</t>
  </si>
  <si>
    <t xml:space="preserve">полуприцеп </t>
  </si>
  <si>
    <t>Дезинфекция разовая поверхностей помещений пищевых и непищевых объектов; жилых  помещений, подъездов  жилых домов:</t>
  </si>
  <si>
    <t>101 - 200 квадратных  метров</t>
  </si>
  <si>
    <t xml:space="preserve">более 200 метров квадратных </t>
  </si>
  <si>
    <t>Дезинфекция разовая предметов и вещей</t>
  </si>
  <si>
    <t>Дезинфекция разоваябелья и одежды,  совмещенная со стиркой</t>
  </si>
  <si>
    <t xml:space="preserve">обработка (каждые 10 кг) </t>
  </si>
  <si>
    <t>Камерная разовая дезинфекция вещей, белья, постельных принадлежностей  паровоздушным способом:</t>
  </si>
  <si>
    <t>площадь рабочей  поверхности камеры 0,9 квадратного метра</t>
  </si>
  <si>
    <t xml:space="preserve">обработка (каждые 54 кг) </t>
  </si>
  <si>
    <t>площадь рабочей  поверхности камеры 2,6 квадратного метра</t>
  </si>
  <si>
    <t>обработка (каждые 156 кг)</t>
  </si>
  <si>
    <t>Камерная разовая дезинфекция вещей, белья, постельных принадлежностей  пароформалиновым способом:</t>
  </si>
  <si>
    <t>Камерная разовая дезинсекция вещей, белья, постельных принадлежностей, а также профилактическая дезинфекция постельных принадлежностей  паровоздушным способом:</t>
  </si>
  <si>
    <t xml:space="preserve">Дезинфекция разовая питьевых емкостей на  объектах водного транспорта </t>
  </si>
  <si>
    <t>Примечание: В тарифах  не  учтена  стоимость  лекарственных  средств изделий  медицинского  назначения и других материалов, которые оплачиваются заказчиком дополнительно.</t>
  </si>
  <si>
    <t>Руководитель организации (индивидуальный предприниматель)</t>
  </si>
  <si>
    <t>(подпись)</t>
  </si>
  <si>
    <t xml:space="preserve"> (И.О.Фамилия)</t>
  </si>
  <si>
    <t>М.П.</t>
  </si>
  <si>
    <t>Государственное учреждение "Кобринский зональный центр гигиены и эпидемиологии" г. Кобрин, пл. Свободы,8; тел.8(01642)2-38-63</t>
  </si>
  <si>
    <t>С.М. Асташевич</t>
  </si>
  <si>
    <t>Н.С. Козак</t>
  </si>
  <si>
    <t>2.3</t>
  </si>
  <si>
    <t>ФИО</t>
  </si>
  <si>
    <t>ФЗП</t>
  </si>
  <si>
    <t>бухгалтер</t>
  </si>
  <si>
    <t xml:space="preserve">Сатвалдыева Н.И. </t>
  </si>
  <si>
    <t>Покалюк В.Л.</t>
  </si>
  <si>
    <t>санитарка</t>
  </si>
  <si>
    <t xml:space="preserve">Огородник Т.М. </t>
  </si>
  <si>
    <t>кладовщик</t>
  </si>
  <si>
    <t xml:space="preserve">Конторук В.Ф </t>
  </si>
  <si>
    <t>водитель</t>
  </si>
  <si>
    <t>ИТОГО:</t>
  </si>
  <si>
    <t xml:space="preserve">Приложение </t>
  </si>
  <si>
    <t xml:space="preserve">Куришко Т.С. </t>
  </si>
  <si>
    <t>Зав. проф дез отд пом.вр эпид</t>
  </si>
  <si>
    <t xml:space="preserve">Мосейчук Ф.Н. </t>
  </si>
  <si>
    <t>инструктор дезинфектор</t>
  </si>
  <si>
    <t>Самусева О.М.</t>
  </si>
  <si>
    <t>Слабина Т.И.</t>
  </si>
  <si>
    <t xml:space="preserve">Довжук Н.М. </t>
  </si>
  <si>
    <t>Радик Е.И.</t>
  </si>
  <si>
    <t xml:space="preserve">Минчук З.И. </t>
  </si>
  <si>
    <t xml:space="preserve">Дрык Е.М. </t>
  </si>
  <si>
    <t xml:space="preserve">ПокалюкВ.А. </t>
  </si>
  <si>
    <t xml:space="preserve">Турутько Е.В. </t>
  </si>
  <si>
    <t xml:space="preserve">Коляда Л.А. </t>
  </si>
  <si>
    <t xml:space="preserve">Богуш Н.Л. </t>
  </si>
  <si>
    <t xml:space="preserve">Шидловская А.Е. </t>
  </si>
  <si>
    <t>Драгун А.А.</t>
  </si>
  <si>
    <t>Итого:</t>
  </si>
  <si>
    <t>Основная оплата труда (фзп+пр+напр)</t>
  </si>
  <si>
    <t>Дополнительная оплата труда (оплата за неотработанное время, трудовых и дополнительных отпусков, оплата льготных часов подростков, оплата перерывов в работе кормящих матерей, оплата времени, связанного с прохождением медицинских осмотров, выполнением государственных обязанностей, единовременные вознаграждения за выслугу лет (стаж работы) и другие выплаты, предусмотренные законодательством) (отпуск)</t>
  </si>
  <si>
    <t>медицинский дезинфектор</t>
  </si>
  <si>
    <t>Симакова Н.В.</t>
  </si>
  <si>
    <t xml:space="preserve">премия </t>
  </si>
  <si>
    <t>отпуск</t>
  </si>
  <si>
    <t>к-во ставок</t>
  </si>
  <si>
    <t>напряженность</t>
  </si>
  <si>
    <t>Должность</t>
  </si>
  <si>
    <t>Основная заработная плата за  4 квартала 2012г.</t>
  </si>
  <si>
    <t>Сумма (тыс. руб.)</t>
  </si>
  <si>
    <t>Примеча-ние</t>
  </si>
  <si>
    <t>№1</t>
  </si>
  <si>
    <t xml:space="preserve"> Наименование платной медицинской услуги</t>
  </si>
  <si>
    <t>Единица измере-ния</t>
  </si>
  <si>
    <t>№</t>
  </si>
  <si>
    <t xml:space="preserve">Единица измерения </t>
  </si>
  <si>
    <t>Наименование используемых материалов</t>
  </si>
  <si>
    <t>Норма расхода материалов</t>
  </si>
  <si>
    <t>мл</t>
  </si>
  <si>
    <t>Нормы расхода материалов</t>
  </si>
  <si>
    <t>(лекарственных средств изделий медицинского назначения и других материалов раздел 3. "Дезинфекция (профилактическая)систематическая автотранспорта"</t>
  </si>
  <si>
    <t>Разрешаются к использованию других инсектицидные и ротентицидные средства, прошедшие государственную гигиеническую регистрацию, согласно настоящим нормам в соответствии с методическими указаниями (инструкциями) по их применению, согласно Постановления № 3 от 10.01.2008г. «Об утверждении единых норм и нормативов материальных и трудовых затрат (времени, расхода основных  и вспомогательных материалов) на платные медицинские услуги по дератизации, дезинсекции, дезинфекции, оказываемые юридическими лицами всех форм собственности и индивидуальными предпринимателями в установленном порядке.</t>
  </si>
  <si>
    <t>___________ С.М. Асташевич</t>
  </si>
  <si>
    <t>Экономист:</t>
  </si>
  <si>
    <t>ТАРИФЫ</t>
  </si>
  <si>
    <t>Приложение 1</t>
  </si>
  <si>
    <t>Заработная плата управленческого и вспомогательного персонала за 2017г.</t>
  </si>
  <si>
    <t>Ющик Е.В.</t>
  </si>
  <si>
    <t>Коберская А.А.</t>
  </si>
  <si>
    <t>юристконсульт</t>
  </si>
  <si>
    <t>Голодюк В.В.</t>
  </si>
  <si>
    <t>оператор ЭВМ</t>
  </si>
  <si>
    <t>Тыльчук Л.Е.</t>
  </si>
  <si>
    <t>Протасевич Е.И.</t>
  </si>
  <si>
    <t>Расчет дополнительного фонда оплаты труда за 2017 год  по Кобринскому зональному ЦГиЭ</t>
  </si>
  <si>
    <t>Кобринский зональный ЦГиЭ</t>
  </si>
  <si>
    <t>Продез</t>
  </si>
  <si>
    <t>А.И.Лешкевич</t>
  </si>
  <si>
    <t>_________________С.М. Асташевич</t>
  </si>
  <si>
    <t>процента накладных расходов за 2017 год по Кобринскому зональному ЦГиЭ</t>
  </si>
  <si>
    <t>об уровне тарифов на платные услуги в случае их изменения</t>
  </si>
  <si>
    <t xml:space="preserve">Наименование платной услуги </t>
  </si>
  <si>
    <t>Приложение 2</t>
  </si>
  <si>
    <t>на платные услуги по разделу : Дератизация , дезинсекция , дезинфекция</t>
  </si>
  <si>
    <r>
      <t>на платные услуги:</t>
    </r>
    <r>
      <rPr>
        <b/>
        <u/>
        <sz val="12"/>
        <rFont val="Times New Roman"/>
        <family val="1"/>
      </rPr>
      <t xml:space="preserve"> </t>
    </r>
  </si>
  <si>
    <t>Приложение 4</t>
  </si>
  <si>
    <t>Наименование платной услуги</t>
  </si>
  <si>
    <t>Должность специалиста, оказывающего платную услугу</t>
  </si>
  <si>
    <t>Приложение 5</t>
  </si>
  <si>
    <t>Наименование платной  услуги</t>
  </si>
  <si>
    <t>Должность специалиста, оказывающего платную  услугу</t>
  </si>
  <si>
    <t>расчета тарифов на платныеуслуги по разделу : Дезинфекция (профилактическая)</t>
  </si>
  <si>
    <t>расчета тарифов на платные услуги по разделу : Дезинсекция</t>
  </si>
  <si>
    <t>расчета тарифов на платные услуги по разделу : Дератизация</t>
  </si>
  <si>
    <t>02.01.2019г.</t>
  </si>
  <si>
    <t xml:space="preserve">        Приложение 3</t>
  </si>
  <si>
    <t>на оказываемые платные услуги по дезинфекции (прфилактической) автотранспорта</t>
  </si>
  <si>
    <t>на платные услуги по профилактической дератизации,</t>
  </si>
  <si>
    <t xml:space="preserve">Наименование платной  услуги </t>
  </si>
  <si>
    <t>дезинсекци и дезинфекции</t>
  </si>
  <si>
    <t>Заработная плата административно-управленческого, хозяйственно-обслуживающего персонала</t>
  </si>
  <si>
    <t>отчисления в Фонд социальной защиты населения Министерства труда и социальной защиты Республики Беларусь</t>
  </si>
  <si>
    <t>страховой взнос по обязательному страхованию от несчастных случаев на производстве и профессиональных заболеваний</t>
  </si>
  <si>
    <t>платеж на профессиональное пенсионное страхование в Фонд соцзащиты населения</t>
  </si>
  <si>
    <t>Арендная плата</t>
  </si>
  <si>
    <t>за тепловую энергию</t>
  </si>
  <si>
    <t>за электрическую энергию</t>
  </si>
  <si>
    <t>за прочие коммунальные услуги</t>
  </si>
  <si>
    <t>Расходы на обеспечение противопожарной и сторожевой охраны</t>
  </si>
  <si>
    <t>Плата за кредиты и услуги банка</t>
  </si>
  <si>
    <t>Амортизация</t>
  </si>
  <si>
    <t>Расходы на консультационные и информационные услуги</t>
  </si>
  <si>
    <t>Приобретение материалов и предметов для текущих и хозяйственных нужд</t>
  </si>
  <si>
    <t>Расходы на ремонт и техническое обслуживание медицинской техники</t>
  </si>
  <si>
    <t>Расходы на текущий ремонт зданий, сооружений</t>
  </si>
  <si>
    <t>Командировочные расходы</t>
  </si>
  <si>
    <t>Транспортные расходы</t>
  </si>
  <si>
    <t>Прочие расходы</t>
  </si>
  <si>
    <t>Основная заработная плата за соответствующий период</t>
  </si>
  <si>
    <t>Процент накладных расходов (стр.18/стр. 19* 100)</t>
  </si>
  <si>
    <t>премия не боле20%</t>
  </si>
  <si>
    <t xml:space="preserve">Прейскурант </t>
  </si>
  <si>
    <t>УТВЕРЖДЕНО   
Приказом Кобринского зонального ЦГиЭ  №106 от 28.03.2020г.</t>
  </si>
  <si>
    <t xml:space="preserve">                                  01.04.2020г.</t>
  </si>
  <si>
    <t>Тариф,  в руб без учета НДС</t>
  </si>
  <si>
    <t>Тариф,  в руб с учетом НДС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</si>
</sst>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42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color indexed="9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sz val="12"/>
      <color indexed="12"/>
      <name val="Arial Cyr"/>
      <charset val="204"/>
    </font>
    <font>
      <sz val="12"/>
      <color indexed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Times New Roman"/>
      <family val="1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35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/>
    <xf numFmtId="0" fontId="2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vertical="center" wrapText="1"/>
    </xf>
    <xf numFmtId="3" fontId="0" fillId="0" borderId="1" xfId="0" applyNumberFormat="1" applyBorder="1"/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3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3" fontId="0" fillId="0" borderId="2" xfId="0" applyNumberFormat="1" applyBorder="1"/>
    <xf numFmtId="165" fontId="0" fillId="0" borderId="5" xfId="0" applyNumberFormat="1" applyBorder="1"/>
    <xf numFmtId="3" fontId="0" fillId="0" borderId="5" xfId="0" applyNumberFormat="1" applyBorder="1"/>
    <xf numFmtId="165" fontId="0" fillId="0" borderId="4" xfId="0" applyNumberFormat="1" applyBorder="1"/>
    <xf numFmtId="3" fontId="0" fillId="0" borderId="4" xfId="0" applyNumberFormat="1" applyBorder="1"/>
    <xf numFmtId="9" fontId="9" fillId="0" borderId="2" xfId="0" applyNumberFormat="1" applyFont="1" applyBorder="1" applyAlignment="1">
      <alignment horizontal="center" vertical="center" textRotation="90" wrapText="1"/>
    </xf>
    <xf numFmtId="166" fontId="9" fillId="0" borderId="2" xfId="0" applyNumberFormat="1" applyFont="1" applyBorder="1" applyAlignment="1">
      <alignment horizontal="center" vertical="center" textRotation="90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5" fontId="0" fillId="0" borderId="0" xfId="0" applyNumberFormat="1" applyBorder="1"/>
    <xf numFmtId="3" fontId="0" fillId="0" borderId="0" xfId="0" applyNumberFormat="1" applyBorder="1"/>
    <xf numFmtId="0" fontId="11" fillId="0" borderId="0" xfId="0" applyFo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10" fillId="0" borderId="0" xfId="0" applyFont="1" applyBorder="1"/>
    <xf numFmtId="0" fontId="17" fillId="0" borderId="8" xfId="0" applyFont="1" applyBorder="1" applyAlignment="1">
      <alignment vertical="top" wrapText="1"/>
    </xf>
    <xf numFmtId="0" fontId="10" fillId="0" borderId="0" xfId="0" applyFont="1"/>
    <xf numFmtId="0" fontId="9" fillId="0" borderId="1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9" fontId="9" fillId="0" borderId="1" xfId="0" applyNumberFormat="1" applyFont="1" applyBorder="1" applyAlignment="1">
      <alignment horizontal="center" vertical="center" textRotation="90" wrapText="1"/>
    </xf>
    <xf numFmtId="166" fontId="9" fillId="0" borderId="1" xfId="0" applyNumberFormat="1" applyFont="1" applyBorder="1" applyAlignment="1">
      <alignment horizontal="center" vertical="center" textRotation="90" wrapText="1"/>
    </xf>
    <xf numFmtId="0" fontId="19" fillId="0" borderId="0" xfId="0" applyFont="1" applyBorder="1"/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vertical="top" wrapText="1"/>
    </xf>
    <xf numFmtId="0" fontId="0" fillId="2" borderId="0" xfId="0" applyFill="1"/>
    <xf numFmtId="164" fontId="2" fillId="2" borderId="0" xfId="0" applyNumberFormat="1" applyFont="1" applyFill="1"/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9" fillId="4" borderId="0" xfId="1" applyFont="1" applyFill="1" applyProtection="1"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9" fillId="4" borderId="0" xfId="1" applyFont="1" applyFill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1" fontId="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top" wrapText="1"/>
      <protection locked="0"/>
    </xf>
    <xf numFmtId="0" fontId="2" fillId="0" borderId="16" xfId="1" applyFont="1" applyFill="1" applyBorder="1" applyAlignment="1" applyProtection="1">
      <alignment horizontal="center" vertical="top" wrapText="1"/>
      <protection locked="0"/>
    </xf>
    <xf numFmtId="0" fontId="2" fillId="0" borderId="17" xfId="1" applyFont="1" applyFill="1" applyBorder="1" applyAlignment="1" applyProtection="1">
      <alignment horizontal="center" vertical="top" wrapText="1"/>
      <protection locked="0"/>
    </xf>
    <xf numFmtId="1" fontId="2" fillId="0" borderId="16" xfId="1" applyNumberFormat="1" applyFont="1" applyFill="1" applyBorder="1" applyAlignment="1" applyProtection="1">
      <alignment horizontal="center" vertical="top" wrapText="1"/>
      <protection locked="0"/>
    </xf>
    <xf numFmtId="1" fontId="2" fillId="0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NumberFormat="1" applyFont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1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9" fillId="0" borderId="0" xfId="1" applyFont="1" applyFill="1" applyAlignment="1" applyProtection="1">
      <alignment vertical="top"/>
    </xf>
    <xf numFmtId="1" fontId="2" fillId="0" borderId="0" xfId="1" applyNumberFormat="1" applyFont="1" applyFill="1" applyAlignment="1" applyProtection="1">
      <alignment vertical="top"/>
    </xf>
    <xf numFmtId="1" fontId="2" fillId="0" borderId="0" xfId="1" applyNumberFormat="1" applyFont="1" applyFill="1" applyAlignment="1" applyProtection="1">
      <alignment horizontal="center" vertical="top" wrapText="1"/>
      <protection locked="0"/>
    </xf>
    <xf numFmtId="0" fontId="29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horizontal="left" vertical="justify"/>
      <protection locked="0"/>
    </xf>
    <xf numFmtId="0" fontId="29" fillId="0" borderId="0" xfId="1" applyFont="1" applyFill="1" applyAlignment="1" applyProtection="1">
      <alignment horizontal="left" vertical="justify"/>
      <protection locked="0"/>
    </xf>
    <xf numFmtId="1" fontId="2" fillId="0" borderId="0" xfId="1" applyNumberFormat="1" applyFont="1" applyFill="1" applyAlignment="1" applyProtection="1">
      <alignment vertical="justify"/>
      <protection locked="0"/>
    </xf>
    <xf numFmtId="0" fontId="2" fillId="0" borderId="0" xfId="1" applyFont="1" applyFill="1" applyBorder="1" applyAlignment="1" applyProtection="1">
      <alignment vertical="justify" wrapText="1"/>
      <protection locked="0"/>
    </xf>
    <xf numFmtId="0" fontId="2" fillId="0" borderId="0" xfId="1" applyFont="1" applyFill="1" applyBorder="1" applyAlignment="1" applyProtection="1">
      <alignment horizontal="center" vertical="justify" wrapText="1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9" fillId="0" borderId="0" xfId="1" applyFont="1" applyFill="1" applyAlignment="1" applyProtection="1">
      <alignment horizontal="left" vertical="center"/>
      <protection locked="0"/>
    </xf>
    <xf numFmtId="1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49" fontId="2" fillId="0" borderId="0" xfId="1" applyNumberFormat="1" applyFont="1" applyFill="1" applyAlignment="1" applyProtection="1">
      <alignment horizontal="center" vertical="center" wrapText="1"/>
      <protection locked="0"/>
    </xf>
    <xf numFmtId="1" fontId="2" fillId="0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1" fontId="3" fillId="0" borderId="3" xfId="1" applyNumberFormat="1" applyFont="1" applyFill="1" applyBorder="1" applyAlignment="1" applyProtection="1">
      <alignment horizontal="left" vertical="center" wrapText="1"/>
      <protection locked="0"/>
    </xf>
    <xf numFmtId="1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1"/>
    <xf numFmtId="0" fontId="10" fillId="4" borderId="0" xfId="1" applyFont="1" applyFill="1" applyAlignment="1" applyProtection="1">
      <alignment horizontal="left" vertical="center"/>
      <protection locked="0"/>
    </xf>
    <xf numFmtId="0" fontId="10" fillId="4" borderId="0" xfId="1" applyFont="1" applyFill="1" applyProtection="1">
      <protection locked="0"/>
    </xf>
    <xf numFmtId="0" fontId="29" fillId="4" borderId="0" xfId="1" applyFont="1" applyFill="1" applyAlignment="1" applyProtection="1">
      <alignment horizontal="center"/>
      <protection locked="0"/>
    </xf>
    <xf numFmtId="1" fontId="29" fillId="4" borderId="0" xfId="1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23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165" fontId="2" fillId="2" borderId="0" xfId="0" applyNumberFormat="1" applyFont="1" applyFill="1" applyBorder="1"/>
    <xf numFmtId="0" fontId="31" fillId="0" borderId="0" xfId="0" applyFont="1"/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0" applyFont="1"/>
    <xf numFmtId="164" fontId="32" fillId="0" borderId="0" xfId="0" applyNumberFormat="1" applyFont="1"/>
    <xf numFmtId="0" fontId="31" fillId="0" borderId="1" xfId="0" applyFont="1" applyBorder="1" applyAlignment="1">
      <alignment vertical="center" wrapText="1"/>
    </xf>
    <xf numFmtId="0" fontId="2" fillId="0" borderId="0" xfId="1" applyFont="1" applyAlignment="1" applyProtection="1">
      <alignment horizontal="left" vertical="top" wrapText="1"/>
    </xf>
    <xf numFmtId="0" fontId="7" fillId="0" borderId="0" xfId="1" applyFont="1" applyAlignment="1" applyProtection="1">
      <alignment vertical="top"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/>
    <xf numFmtId="0" fontId="8" fillId="5" borderId="0" xfId="0" applyFont="1" applyFill="1" applyProtection="1">
      <protection hidden="1"/>
    </xf>
    <xf numFmtId="49" fontId="14" fillId="2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30" fillId="2" borderId="0" xfId="0" applyNumberFormat="1" applyFont="1" applyFill="1" applyAlignment="1">
      <alignment horizontal="center"/>
    </xf>
    <xf numFmtId="0" fontId="8" fillId="5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30" fillId="0" borderId="0" xfId="0" applyNumberFormat="1" applyFont="1" applyAlignment="1">
      <alignment horizontal="center"/>
    </xf>
    <xf numFmtId="0" fontId="30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Font="1" applyAlignment="1">
      <alignment wrapText="1"/>
    </xf>
    <xf numFmtId="49" fontId="34" fillId="2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9" fillId="2" borderId="0" xfId="0" applyFont="1" applyFill="1" applyBorder="1" applyAlignment="1" applyProtection="1">
      <alignment wrapText="1"/>
      <protection locked="0"/>
    </xf>
    <xf numFmtId="1" fontId="29" fillId="2" borderId="0" xfId="0" applyNumberFormat="1" applyFont="1" applyFill="1" applyBorder="1" applyAlignment="1" applyProtection="1">
      <alignment horizontal="center"/>
      <protection locked="0"/>
    </xf>
    <xf numFmtId="1" fontId="36" fillId="2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1" fontId="37" fillId="2" borderId="0" xfId="0" applyNumberFormat="1" applyFont="1" applyFill="1" applyBorder="1" applyAlignment="1" applyProtection="1">
      <alignment horizontal="center"/>
      <protection locked="0"/>
    </xf>
    <xf numFmtId="0" fontId="2" fillId="0" borderId="17" xfId="1" applyNumberFormat="1" applyFont="1" applyBorder="1" applyAlignment="1" applyProtection="1">
      <alignment vertical="top"/>
    </xf>
    <xf numFmtId="0" fontId="7" fillId="0" borderId="17" xfId="1" applyFont="1" applyBorder="1" applyAlignment="1" applyProtection="1">
      <alignment vertical="top" wrapText="1"/>
    </xf>
    <xf numFmtId="0" fontId="2" fillId="0" borderId="17" xfId="1" applyFont="1" applyBorder="1" applyAlignment="1" applyProtection="1">
      <alignment horizontal="center" vertical="top" wrapText="1"/>
    </xf>
    <xf numFmtId="0" fontId="2" fillId="0" borderId="17" xfId="1" applyFont="1" applyBorder="1" applyAlignment="1" applyProtection="1">
      <alignment vertical="top" wrapText="1"/>
    </xf>
    <xf numFmtId="0" fontId="7" fillId="0" borderId="17" xfId="1" applyNumberFormat="1" applyFont="1" applyBorder="1" applyAlignment="1" applyProtection="1">
      <alignment vertical="top"/>
    </xf>
    <xf numFmtId="1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/>
    <xf numFmtId="2" fontId="0" fillId="0" borderId="1" xfId="0" applyNumberFormat="1" applyBorder="1"/>
    <xf numFmtId="1" fontId="0" fillId="0" borderId="1" xfId="0" applyNumberFormat="1" applyBorder="1"/>
    <xf numFmtId="2" fontId="0" fillId="0" borderId="0" xfId="0" applyNumberFormat="1"/>
    <xf numFmtId="2" fontId="32" fillId="0" borderId="0" xfId="0" applyNumberFormat="1" applyFont="1"/>
    <xf numFmtId="4" fontId="2" fillId="5" borderId="1" xfId="0" applyNumberFormat="1" applyFont="1" applyFill="1" applyBorder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1" fontId="0" fillId="0" borderId="5" xfId="0" applyNumberFormat="1" applyBorder="1"/>
    <xf numFmtId="2" fontId="0" fillId="0" borderId="2" xfId="0" applyNumberFormat="1" applyBorder="1"/>
    <xf numFmtId="4" fontId="0" fillId="0" borderId="1" xfId="0" applyNumberFormat="1" applyBorder="1"/>
    <xf numFmtId="2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Border="1"/>
    <xf numFmtId="2" fontId="34" fillId="0" borderId="1" xfId="0" applyNumberFormat="1" applyFont="1" applyBorder="1" applyAlignment="1">
      <alignment horizontal="center" vertical="center"/>
    </xf>
    <xf numFmtId="2" fontId="2" fillId="2" borderId="0" xfId="0" applyNumberFormat="1" applyFont="1" applyFill="1"/>
    <xf numFmtId="2" fontId="1" fillId="5" borderId="0" xfId="0" applyNumberFormat="1" applyFont="1" applyFill="1"/>
    <xf numFmtId="2" fontId="2" fillId="0" borderId="0" xfId="1" applyNumberFormat="1" applyFont="1" applyFill="1" applyAlignment="1" applyProtection="1">
      <alignment horizontal="center" vertical="top" wrapText="1"/>
      <protection locked="0"/>
    </xf>
    <xf numFmtId="2" fontId="2" fillId="0" borderId="0" xfId="1" applyNumberFormat="1" applyFont="1" applyFill="1" applyBorder="1" applyAlignment="1" applyProtection="1">
      <alignment horizontal="center" vertical="top" wrapText="1"/>
      <protection locked="0"/>
    </xf>
    <xf numFmtId="2" fontId="2" fillId="0" borderId="0" xfId="1" applyNumberFormat="1" applyFont="1" applyFill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7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7" fillId="0" borderId="0" xfId="1" applyFont="1" applyFill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4" fontId="41" fillId="0" borderId="1" xfId="0" applyNumberFormat="1" applyFont="1" applyBorder="1"/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justify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1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1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8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0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6" xfId="0" applyFont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15" fillId="0" borderId="6" xfId="0" applyFont="1" applyBorder="1" applyAlignment="1">
      <alignment vertical="top" wrapText="1"/>
    </xf>
    <xf numFmtId="0" fontId="24" fillId="0" borderId="0" xfId="0" applyFont="1" applyAlignment="1"/>
    <xf numFmtId="0" fontId="25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34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2" fontId="34" fillId="0" borderId="0" xfId="0" applyNumberFormat="1" applyFont="1" applyAlignment="1">
      <alignment wrapText="1"/>
    </xf>
    <xf numFmtId="2" fontId="0" fillId="0" borderId="0" xfId="0" applyNumberFormat="1" applyAlignment="1"/>
    <xf numFmtId="0" fontId="34" fillId="0" borderId="0" xfId="0" applyFont="1" applyAlignment="1"/>
    <xf numFmtId="2" fontId="34" fillId="0" borderId="8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8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right" vertical="top"/>
    </xf>
    <xf numFmtId="0" fontId="34" fillId="0" borderId="0" xfId="0" applyFont="1" applyAlignment="1">
      <alignment horizontal="right"/>
    </xf>
    <xf numFmtId="0" fontId="30" fillId="0" borderId="0" xfId="0" applyFont="1" applyAlignment="1"/>
    <xf numFmtId="0" fontId="34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0" fillId="0" borderId="0" xfId="0" applyFont="1" applyAlignment="1">
      <alignment horizontal="center" wrapText="1"/>
    </xf>
    <xf numFmtId="1" fontId="2" fillId="0" borderId="0" xfId="1" applyNumberFormat="1" applyFont="1" applyFill="1" applyBorder="1" applyAlignment="1" applyProtection="1">
      <alignment horizontal="left" vertical="center" wrapText="1"/>
      <protection locked="0"/>
    </xf>
    <xf numFmtId="1" fontId="2" fillId="0" borderId="2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информация тарифов изменения дез Каменецкий рай ЦГЭ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zoomScale="89" zoomScaleNormal="100" zoomScaleSheetLayoutView="100" workbookViewId="0">
      <selection activeCell="J14" sqref="J14"/>
    </sheetView>
  </sheetViews>
  <sheetFormatPr defaultRowHeight="15.75"/>
  <cols>
    <col min="1" max="1" width="3.85546875" style="156" customWidth="1"/>
    <col min="2" max="2" width="3.5703125" style="156" customWidth="1"/>
    <col min="3" max="3" width="4" style="156" bestFit="1" customWidth="1"/>
    <col min="4" max="4" width="2.85546875" style="157" hidden="1" customWidth="1"/>
    <col min="5" max="5" width="3.42578125" style="157" hidden="1" customWidth="1"/>
    <col min="6" max="6" width="2.5703125" style="157" hidden="1" customWidth="1"/>
    <col min="7" max="7" width="50" style="157" customWidth="1"/>
    <col min="8" max="8" width="18.5703125" style="158" customWidth="1"/>
    <col min="9" max="9" width="10.85546875" style="159" customWidth="1"/>
    <col min="10" max="10" width="10.28515625" style="159" customWidth="1"/>
    <col min="11" max="11" width="10.85546875" style="158" customWidth="1"/>
    <col min="12" max="12" width="9.5703125" style="158" customWidth="1"/>
    <col min="13" max="13" width="9.85546875" style="159" customWidth="1"/>
    <col min="14" max="14" width="12" style="117" customWidth="1"/>
    <col min="15" max="16384" width="9.140625" style="117"/>
  </cols>
  <sheetData>
    <row r="1" spans="1:14">
      <c r="A1" s="247" t="s">
        <v>161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ht="14.2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>
      <c r="A3" s="247" t="s">
        <v>311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4">
      <c r="A4" s="249" t="s">
        <v>237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1:14">
      <c r="A5" s="247" t="s">
        <v>162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14" ht="12" customHeight="1">
      <c r="A6" s="118"/>
      <c r="B6" s="118"/>
      <c r="C6" s="118"/>
      <c r="D6" s="118"/>
      <c r="E6" s="118"/>
      <c r="F6" s="118"/>
      <c r="G6" s="118"/>
      <c r="H6" s="119"/>
      <c r="I6" s="119"/>
      <c r="J6" s="119"/>
      <c r="K6" s="119"/>
      <c r="L6" s="119"/>
      <c r="M6" s="119"/>
      <c r="N6" s="119"/>
    </row>
    <row r="7" spans="1:14" ht="8.25" customHeight="1" thickBot="1">
      <c r="A7" s="119"/>
      <c r="B7" s="119"/>
      <c r="C7" s="119"/>
      <c r="D7" s="119"/>
      <c r="E7" s="119"/>
      <c r="F7" s="119"/>
      <c r="G7" s="121"/>
      <c r="H7" s="121"/>
      <c r="I7" s="121"/>
      <c r="J7" s="121"/>
      <c r="K7" s="121"/>
      <c r="L7" s="121"/>
      <c r="M7" s="121"/>
      <c r="N7" s="121"/>
    </row>
    <row r="8" spans="1:14" s="122" customFormat="1" ht="17.25" customHeight="1" thickBot="1">
      <c r="A8" s="253" t="s">
        <v>0</v>
      </c>
      <c r="B8" s="263"/>
      <c r="C8" s="263"/>
      <c r="D8" s="115"/>
      <c r="E8" s="115"/>
      <c r="F8" s="120"/>
      <c r="G8" s="253" t="s">
        <v>312</v>
      </c>
      <c r="H8" s="250" t="s">
        <v>19</v>
      </c>
      <c r="I8" s="261" t="s">
        <v>163</v>
      </c>
      <c r="J8" s="268"/>
      <c r="K8" s="268"/>
      <c r="L8" s="268"/>
      <c r="M8" s="250" t="s">
        <v>164</v>
      </c>
      <c r="N8" s="250" t="s">
        <v>281</v>
      </c>
    </row>
    <row r="9" spans="1:14" s="122" customFormat="1" ht="24.75" customHeight="1" thickBot="1">
      <c r="A9" s="264"/>
      <c r="B9" s="265"/>
      <c r="C9" s="265"/>
      <c r="D9" s="116"/>
      <c r="E9" s="116"/>
      <c r="F9" s="123"/>
      <c r="G9" s="264"/>
      <c r="H9" s="251"/>
      <c r="I9" s="261" t="s">
        <v>165</v>
      </c>
      <c r="J9" s="262"/>
      <c r="K9" s="253" t="s">
        <v>166</v>
      </c>
      <c r="L9" s="254"/>
      <c r="M9" s="251"/>
      <c r="N9" s="251"/>
    </row>
    <row r="10" spans="1:14" s="122" customFormat="1" ht="32.25" thickBot="1">
      <c r="A10" s="266"/>
      <c r="B10" s="267"/>
      <c r="C10" s="267"/>
      <c r="D10" s="116"/>
      <c r="E10" s="116"/>
      <c r="F10" s="123"/>
      <c r="G10" s="266"/>
      <c r="H10" s="252"/>
      <c r="I10" s="124" t="s">
        <v>167</v>
      </c>
      <c r="J10" s="124" t="s">
        <v>168</v>
      </c>
      <c r="K10" s="124" t="s">
        <v>167</v>
      </c>
      <c r="L10" s="124" t="s">
        <v>168</v>
      </c>
      <c r="M10" s="252"/>
      <c r="N10" s="252"/>
    </row>
    <row r="11" spans="1:14" ht="16.5" thickBot="1">
      <c r="A11" s="258">
        <v>1</v>
      </c>
      <c r="B11" s="259"/>
      <c r="C11" s="260"/>
      <c r="D11" s="125"/>
      <c r="E11" s="125"/>
      <c r="F11" s="126"/>
      <c r="G11" s="127">
        <v>2</v>
      </c>
      <c r="H11" s="127">
        <v>3</v>
      </c>
      <c r="I11" s="128">
        <v>4</v>
      </c>
      <c r="J11" s="128">
        <v>5</v>
      </c>
      <c r="K11" s="126">
        <v>6</v>
      </c>
      <c r="L11" s="126">
        <v>7</v>
      </c>
      <c r="M11" s="126">
        <v>8</v>
      </c>
      <c r="N11" s="129">
        <v>9</v>
      </c>
    </row>
    <row r="12" spans="1:14">
      <c r="A12" s="130" t="s">
        <v>169</v>
      </c>
      <c r="B12" s="130"/>
      <c r="C12" s="130"/>
      <c r="D12" s="131"/>
      <c r="E12" s="131"/>
      <c r="F12" s="131"/>
      <c r="G12" s="173" t="s">
        <v>170</v>
      </c>
      <c r="H12" s="133"/>
      <c r="I12" s="134"/>
      <c r="J12" s="134"/>
      <c r="K12" s="134"/>
      <c r="L12" s="134"/>
      <c r="M12" s="134"/>
      <c r="N12" s="135"/>
    </row>
    <row r="13" spans="1:14" ht="31.5">
      <c r="A13" s="130" t="s">
        <v>169</v>
      </c>
      <c r="B13" s="130" t="s">
        <v>169</v>
      </c>
      <c r="C13" s="130"/>
      <c r="D13" s="136"/>
      <c r="E13" s="137"/>
      <c r="F13" s="137"/>
      <c r="G13" s="132" t="s">
        <v>171</v>
      </c>
      <c r="H13" s="133"/>
      <c r="I13" s="138"/>
      <c r="J13" s="138"/>
      <c r="K13" s="138"/>
      <c r="L13" s="138"/>
      <c r="M13" s="134"/>
      <c r="N13" s="135"/>
    </row>
    <row r="14" spans="1:14" ht="31.5">
      <c r="A14" s="130" t="s">
        <v>169</v>
      </c>
      <c r="B14" s="130" t="s">
        <v>169</v>
      </c>
      <c r="C14" s="130" t="s">
        <v>169</v>
      </c>
      <c r="D14" s="136"/>
      <c r="E14" s="137"/>
      <c r="F14" s="137"/>
      <c r="G14" s="132" t="s">
        <v>55</v>
      </c>
      <c r="H14" s="133" t="s">
        <v>172</v>
      </c>
      <c r="I14" s="235">
        <v>3.17</v>
      </c>
      <c r="J14" s="235">
        <v>3.8</v>
      </c>
      <c r="K14" s="235">
        <v>1.81</v>
      </c>
      <c r="L14" s="235">
        <v>2.17</v>
      </c>
      <c r="M14" s="236">
        <f>J14/L14*100</f>
        <v>175.12</v>
      </c>
      <c r="N14" s="135"/>
    </row>
    <row r="15" spans="1:14" ht="47.25">
      <c r="A15" s="130" t="s">
        <v>169</v>
      </c>
      <c r="B15" s="130" t="s">
        <v>169</v>
      </c>
      <c r="C15" s="130" t="s">
        <v>173</v>
      </c>
      <c r="D15" s="136"/>
      <c r="E15" s="137"/>
      <c r="F15" s="137"/>
      <c r="G15" s="132" t="s">
        <v>174</v>
      </c>
      <c r="H15" s="133" t="s">
        <v>175</v>
      </c>
      <c r="I15" s="235">
        <v>1.86</v>
      </c>
      <c r="J15" s="235">
        <v>2.23</v>
      </c>
      <c r="K15" s="235">
        <v>1.05</v>
      </c>
      <c r="L15" s="235">
        <v>1.26</v>
      </c>
      <c r="M15" s="236">
        <f>J15/L15*100</f>
        <v>176.98</v>
      </c>
      <c r="N15" s="135"/>
    </row>
    <row r="16" spans="1:14" ht="60.75" customHeight="1">
      <c r="A16" s="130" t="s">
        <v>169</v>
      </c>
      <c r="B16" s="130" t="s">
        <v>169</v>
      </c>
      <c r="C16" s="130" t="s">
        <v>176</v>
      </c>
      <c r="D16" s="136"/>
      <c r="E16" s="137"/>
      <c r="F16" s="137"/>
      <c r="G16" s="132" t="s">
        <v>177</v>
      </c>
      <c r="H16" s="133" t="s">
        <v>178</v>
      </c>
      <c r="I16" s="235">
        <v>1.1200000000000001</v>
      </c>
      <c r="J16" s="235">
        <v>1.34</v>
      </c>
      <c r="K16" s="235">
        <v>0.67</v>
      </c>
      <c r="L16" s="235">
        <v>0.8</v>
      </c>
      <c r="M16" s="236">
        <f>J16/L16*100</f>
        <v>167.5</v>
      </c>
      <c r="N16" s="135"/>
    </row>
    <row r="17" spans="1:14" ht="31.5" hidden="1">
      <c r="A17" s="130" t="s">
        <v>169</v>
      </c>
      <c r="B17" s="130" t="s">
        <v>173</v>
      </c>
      <c r="C17" s="130"/>
      <c r="D17" s="136"/>
      <c r="E17" s="137"/>
      <c r="F17" s="137"/>
      <c r="G17" s="132" t="s">
        <v>179</v>
      </c>
      <c r="H17" s="133" t="s">
        <v>172</v>
      </c>
      <c r="I17" s="235"/>
      <c r="J17" s="235"/>
      <c r="K17" s="235"/>
      <c r="L17" s="235"/>
      <c r="M17" s="236"/>
      <c r="N17" s="135"/>
    </row>
    <row r="18" spans="1:14" ht="31.5">
      <c r="A18" s="130" t="s">
        <v>169</v>
      </c>
      <c r="B18" s="130" t="s">
        <v>176</v>
      </c>
      <c r="C18" s="130"/>
      <c r="D18" s="136"/>
      <c r="E18" s="137"/>
      <c r="F18" s="137"/>
      <c r="G18" s="173" t="s">
        <v>180</v>
      </c>
      <c r="H18" s="133"/>
      <c r="I18" s="235"/>
      <c r="J18" s="235"/>
      <c r="K18" s="235"/>
      <c r="L18" s="235"/>
      <c r="M18" s="236"/>
      <c r="N18" s="135"/>
    </row>
    <row r="19" spans="1:14" ht="31.5">
      <c r="A19" s="130" t="s">
        <v>169</v>
      </c>
      <c r="B19" s="130" t="s">
        <v>176</v>
      </c>
      <c r="C19" s="130" t="s">
        <v>169</v>
      </c>
      <c r="D19" s="136"/>
      <c r="E19" s="137"/>
      <c r="F19" s="137"/>
      <c r="G19" s="132" t="s">
        <v>55</v>
      </c>
      <c r="H19" s="133" t="s">
        <v>172</v>
      </c>
      <c r="I19" s="235">
        <v>27.44</v>
      </c>
      <c r="J19" s="235">
        <v>32.93</v>
      </c>
      <c r="K19" s="235">
        <v>15.35</v>
      </c>
      <c r="L19" s="235">
        <v>18.420000000000002</v>
      </c>
      <c r="M19" s="236">
        <f>J19/L19*100</f>
        <v>178.77</v>
      </c>
      <c r="N19" s="135"/>
    </row>
    <row r="20" spans="1:14" ht="47.25">
      <c r="A20" s="130" t="s">
        <v>169</v>
      </c>
      <c r="B20" s="130" t="s">
        <v>176</v>
      </c>
      <c r="C20" s="130" t="s">
        <v>173</v>
      </c>
      <c r="D20" s="136"/>
      <c r="E20" s="137"/>
      <c r="F20" s="137"/>
      <c r="G20" s="132" t="s">
        <v>174</v>
      </c>
      <c r="H20" s="133" t="s">
        <v>175</v>
      </c>
      <c r="I20" s="235">
        <v>9.15</v>
      </c>
      <c r="J20" s="235">
        <v>10.98</v>
      </c>
      <c r="K20" s="235">
        <v>5.14</v>
      </c>
      <c r="L20" s="235">
        <v>6.17</v>
      </c>
      <c r="M20" s="236">
        <f>J20/L20*100</f>
        <v>177.96</v>
      </c>
      <c r="N20" s="135"/>
    </row>
    <row r="21" spans="1:14" ht="47.25">
      <c r="A21" s="130" t="s">
        <v>169</v>
      </c>
      <c r="B21" s="130" t="s">
        <v>176</v>
      </c>
      <c r="C21" s="130" t="s">
        <v>176</v>
      </c>
      <c r="D21" s="136"/>
      <c r="E21" s="137"/>
      <c r="F21" s="137"/>
      <c r="G21" s="132" t="s">
        <v>177</v>
      </c>
      <c r="H21" s="133" t="s">
        <v>178</v>
      </c>
      <c r="I21" s="235">
        <v>5.04</v>
      </c>
      <c r="J21" s="235">
        <v>6.05</v>
      </c>
      <c r="K21" s="235">
        <v>2.85</v>
      </c>
      <c r="L21" s="235">
        <v>3.42</v>
      </c>
      <c r="M21" s="236">
        <f>J21/L21*100</f>
        <v>176.9</v>
      </c>
      <c r="N21" s="135"/>
    </row>
    <row r="22" spans="1:14" ht="55.5" customHeight="1">
      <c r="A22" s="130" t="s">
        <v>169</v>
      </c>
      <c r="B22" s="130" t="s">
        <v>181</v>
      </c>
      <c r="C22" s="130"/>
      <c r="D22" s="136"/>
      <c r="E22" s="137"/>
      <c r="F22" s="137"/>
      <c r="G22" s="132" t="s">
        <v>69</v>
      </c>
      <c r="H22" s="133" t="s">
        <v>182</v>
      </c>
      <c r="I22" s="235">
        <v>10.26</v>
      </c>
      <c r="J22" s="235">
        <v>12.31</v>
      </c>
      <c r="K22" s="235">
        <v>5.73</v>
      </c>
      <c r="L22" s="235">
        <v>6.88</v>
      </c>
      <c r="M22" s="236">
        <f>J22/L22*100</f>
        <v>178.92</v>
      </c>
      <c r="N22" s="135"/>
    </row>
    <row r="23" spans="1:14" ht="51.75" customHeight="1">
      <c r="A23" s="130" t="s">
        <v>169</v>
      </c>
      <c r="B23" s="130" t="s">
        <v>183</v>
      </c>
      <c r="C23" s="130"/>
      <c r="D23" s="136"/>
      <c r="E23" s="137"/>
      <c r="F23" s="137"/>
      <c r="G23" s="132" t="s">
        <v>74</v>
      </c>
      <c r="H23" s="133" t="s">
        <v>178</v>
      </c>
      <c r="I23" s="235">
        <v>10.84</v>
      </c>
      <c r="J23" s="235">
        <v>13.01</v>
      </c>
      <c r="K23" s="235">
        <v>6.07</v>
      </c>
      <c r="L23" s="235">
        <v>7.28</v>
      </c>
      <c r="M23" s="236">
        <f>J23/L23*100</f>
        <v>178.71</v>
      </c>
      <c r="N23" s="135"/>
    </row>
    <row r="24" spans="1:14" ht="29.25" hidden="1" customHeight="1">
      <c r="A24" s="130" t="s">
        <v>169</v>
      </c>
      <c r="B24" s="130" t="s">
        <v>184</v>
      </c>
      <c r="C24" s="130"/>
      <c r="D24" s="136"/>
      <c r="E24" s="137"/>
      <c r="F24" s="137"/>
      <c r="G24" s="132" t="s">
        <v>185</v>
      </c>
      <c r="H24" s="133" t="s">
        <v>172</v>
      </c>
      <c r="I24" s="235"/>
      <c r="J24" s="235"/>
      <c r="K24" s="235"/>
      <c r="L24" s="235"/>
      <c r="M24" s="236"/>
      <c r="N24" s="135"/>
    </row>
    <row r="25" spans="1:14" ht="48.75" customHeight="1">
      <c r="A25" s="130" t="s">
        <v>169</v>
      </c>
      <c r="B25" s="130" t="s">
        <v>186</v>
      </c>
      <c r="C25" s="130"/>
      <c r="D25" s="136"/>
      <c r="E25" s="137"/>
      <c r="F25" s="137"/>
      <c r="G25" s="132" t="s">
        <v>75</v>
      </c>
      <c r="H25" s="133" t="s">
        <v>187</v>
      </c>
      <c r="I25" s="235">
        <v>2.58</v>
      </c>
      <c r="J25" s="235">
        <v>3.1</v>
      </c>
      <c r="K25" s="235">
        <v>1.63</v>
      </c>
      <c r="L25" s="235">
        <v>1.96</v>
      </c>
      <c r="M25" s="236">
        <f>J25/L25*100</f>
        <v>158.16</v>
      </c>
      <c r="N25" s="135"/>
    </row>
    <row r="26" spans="1:14">
      <c r="A26" s="130" t="s">
        <v>173</v>
      </c>
      <c r="B26" s="130"/>
      <c r="C26" s="130"/>
      <c r="D26" s="136"/>
      <c r="E26" s="137"/>
      <c r="F26" s="137"/>
      <c r="G26" s="173" t="s">
        <v>188</v>
      </c>
      <c r="H26" s="133"/>
      <c r="I26" s="235"/>
      <c r="J26" s="235"/>
      <c r="K26" s="235"/>
      <c r="L26" s="235"/>
      <c r="M26" s="236"/>
      <c r="N26" s="135"/>
    </row>
    <row r="27" spans="1:14" ht="47.25">
      <c r="A27" s="130" t="s">
        <v>173</v>
      </c>
      <c r="B27" s="130" t="s">
        <v>169</v>
      </c>
      <c r="C27" s="130"/>
      <c r="D27" s="136"/>
      <c r="E27" s="137"/>
      <c r="F27" s="137"/>
      <c r="G27" s="132" t="s">
        <v>189</v>
      </c>
      <c r="H27" s="133"/>
      <c r="I27" s="235"/>
      <c r="J27" s="235"/>
      <c r="K27" s="235"/>
      <c r="L27" s="235"/>
      <c r="M27" s="236"/>
      <c r="N27" s="135"/>
    </row>
    <row r="28" spans="1:14" ht="31.5">
      <c r="A28" s="130" t="s">
        <v>173</v>
      </c>
      <c r="B28" s="130" t="s">
        <v>169</v>
      </c>
      <c r="C28" s="130" t="s">
        <v>169</v>
      </c>
      <c r="D28" s="136"/>
      <c r="E28" s="137"/>
      <c r="F28" s="137"/>
      <c r="G28" s="132" t="s">
        <v>55</v>
      </c>
      <c r="H28" s="133" t="s">
        <v>172</v>
      </c>
      <c r="I28" s="235">
        <v>7.47</v>
      </c>
      <c r="J28" s="235">
        <v>8.9600000000000009</v>
      </c>
      <c r="K28" s="235">
        <v>4.18</v>
      </c>
      <c r="L28" s="235">
        <v>5.0199999999999996</v>
      </c>
      <c r="M28" s="236">
        <f>J28/L28*100</f>
        <v>178.49</v>
      </c>
      <c r="N28" s="135"/>
    </row>
    <row r="29" spans="1:14" ht="47.25">
      <c r="A29" s="130" t="s">
        <v>173</v>
      </c>
      <c r="B29" s="130" t="s">
        <v>169</v>
      </c>
      <c r="C29" s="130" t="s">
        <v>173</v>
      </c>
      <c r="D29" s="136"/>
      <c r="E29" s="137"/>
      <c r="F29" s="137"/>
      <c r="G29" s="132" t="s">
        <v>174</v>
      </c>
      <c r="H29" s="133" t="s">
        <v>178</v>
      </c>
      <c r="I29" s="235">
        <v>7.09</v>
      </c>
      <c r="J29" s="235">
        <v>8.51</v>
      </c>
      <c r="K29" s="235">
        <v>4</v>
      </c>
      <c r="L29" s="235">
        <v>4.8</v>
      </c>
      <c r="M29" s="236">
        <f>J29/L29*100</f>
        <v>177.29</v>
      </c>
      <c r="N29" s="135"/>
    </row>
    <row r="30" spans="1:14" ht="47.25">
      <c r="A30" s="130" t="s">
        <v>173</v>
      </c>
      <c r="B30" s="130" t="s">
        <v>169</v>
      </c>
      <c r="C30" s="130" t="s">
        <v>176</v>
      </c>
      <c r="D30" s="136"/>
      <c r="E30" s="137"/>
      <c r="F30" s="137"/>
      <c r="G30" s="132" t="s">
        <v>177</v>
      </c>
      <c r="H30" s="133" t="s">
        <v>178</v>
      </c>
      <c r="I30" s="235">
        <v>4.1100000000000003</v>
      </c>
      <c r="J30" s="235">
        <v>4.93</v>
      </c>
      <c r="K30" s="235">
        <v>2.2799999999999998</v>
      </c>
      <c r="L30" s="235">
        <v>2.74</v>
      </c>
      <c r="M30" s="236">
        <f>J30/L30*100</f>
        <v>179.93</v>
      </c>
      <c r="N30" s="135"/>
    </row>
    <row r="31" spans="1:14" ht="31.5">
      <c r="A31" s="130" t="s">
        <v>173</v>
      </c>
      <c r="B31" s="130" t="s">
        <v>173</v>
      </c>
      <c r="C31" s="130"/>
      <c r="D31" s="136"/>
      <c r="E31" s="137"/>
      <c r="F31" s="137"/>
      <c r="G31" s="132" t="s">
        <v>190</v>
      </c>
      <c r="H31" s="133"/>
      <c r="I31" s="235"/>
      <c r="J31" s="235"/>
      <c r="K31" s="235"/>
      <c r="L31" s="235"/>
      <c r="M31" s="236"/>
      <c r="N31" s="135"/>
    </row>
    <row r="32" spans="1:14" ht="31.5">
      <c r="A32" s="130" t="s">
        <v>173</v>
      </c>
      <c r="B32" s="130" t="s">
        <v>173</v>
      </c>
      <c r="C32" s="130" t="s">
        <v>169</v>
      </c>
      <c r="D32" s="136"/>
      <c r="E32" s="137"/>
      <c r="F32" s="137"/>
      <c r="G32" s="132" t="s">
        <v>55</v>
      </c>
      <c r="H32" s="133" t="s">
        <v>172</v>
      </c>
      <c r="I32" s="235">
        <v>5.41</v>
      </c>
      <c r="J32" s="235">
        <v>6.49</v>
      </c>
      <c r="K32" s="235">
        <v>3.05</v>
      </c>
      <c r="L32" s="235">
        <v>3.66</v>
      </c>
      <c r="M32" s="236">
        <f>J32/L32*100</f>
        <v>177.32</v>
      </c>
      <c r="N32" s="135"/>
    </row>
    <row r="33" spans="1:14" ht="47.25">
      <c r="A33" s="130" t="s">
        <v>173</v>
      </c>
      <c r="B33" s="130" t="s">
        <v>173</v>
      </c>
      <c r="C33" s="130" t="s">
        <v>173</v>
      </c>
      <c r="D33" s="136"/>
      <c r="E33" s="137"/>
      <c r="F33" s="137"/>
      <c r="G33" s="132" t="s">
        <v>174</v>
      </c>
      <c r="H33" s="133" t="s">
        <v>178</v>
      </c>
      <c r="I33" s="235">
        <v>4.84</v>
      </c>
      <c r="J33" s="235">
        <v>5.81</v>
      </c>
      <c r="K33" s="235">
        <v>2.74</v>
      </c>
      <c r="L33" s="235">
        <v>3.29</v>
      </c>
      <c r="M33" s="236">
        <f>J33/L33*100</f>
        <v>176.6</v>
      </c>
      <c r="N33" s="135"/>
    </row>
    <row r="34" spans="1:14" ht="62.25" customHeight="1">
      <c r="A34" s="130" t="s">
        <v>173</v>
      </c>
      <c r="B34" s="130" t="s">
        <v>173</v>
      </c>
      <c r="C34" s="130" t="s">
        <v>176</v>
      </c>
      <c r="D34" s="136"/>
      <c r="E34" s="137"/>
      <c r="F34" s="137"/>
      <c r="G34" s="132" t="s">
        <v>177</v>
      </c>
      <c r="H34" s="133" t="s">
        <v>178</v>
      </c>
      <c r="I34" s="235">
        <v>3.18</v>
      </c>
      <c r="J34" s="235">
        <v>3.82</v>
      </c>
      <c r="K34" s="235">
        <v>1.81</v>
      </c>
      <c r="L34" s="235">
        <v>2.17</v>
      </c>
      <c r="M34" s="236">
        <f>J34/L34*100</f>
        <v>176.04</v>
      </c>
      <c r="N34" s="135"/>
    </row>
    <row r="35" spans="1:14" ht="31.5" hidden="1">
      <c r="A35" s="130" t="s">
        <v>173</v>
      </c>
      <c r="B35" s="130" t="s">
        <v>176</v>
      </c>
      <c r="C35" s="130"/>
      <c r="D35" s="136"/>
      <c r="E35" s="137"/>
      <c r="F35" s="137"/>
      <c r="G35" s="132" t="s">
        <v>191</v>
      </c>
      <c r="H35" s="133" t="s">
        <v>172</v>
      </c>
      <c r="I35" s="235"/>
      <c r="J35" s="235"/>
      <c r="K35" s="235"/>
      <c r="L35" s="235"/>
      <c r="M35" s="236"/>
      <c r="N35" s="135"/>
    </row>
    <row r="36" spans="1:14" ht="47.25">
      <c r="A36" s="130" t="s">
        <v>173</v>
      </c>
      <c r="B36" s="130" t="s">
        <v>181</v>
      </c>
      <c r="C36" s="130"/>
      <c r="D36" s="136"/>
      <c r="E36" s="137"/>
      <c r="F36" s="137"/>
      <c r="G36" s="132" t="s">
        <v>159</v>
      </c>
      <c r="H36" s="133"/>
      <c r="I36" s="235"/>
      <c r="J36" s="235"/>
      <c r="K36" s="235"/>
      <c r="L36" s="235"/>
      <c r="M36" s="236"/>
      <c r="N36" s="135"/>
    </row>
    <row r="37" spans="1:14" ht="31.5">
      <c r="A37" s="130" t="s">
        <v>173</v>
      </c>
      <c r="B37" s="130" t="s">
        <v>181</v>
      </c>
      <c r="C37" s="130" t="s">
        <v>169</v>
      </c>
      <c r="D37" s="136"/>
      <c r="E37" s="137"/>
      <c r="F37" s="137"/>
      <c r="G37" s="132" t="s">
        <v>55</v>
      </c>
      <c r="H37" s="133" t="s">
        <v>172</v>
      </c>
      <c r="I37" s="235">
        <v>32.11</v>
      </c>
      <c r="J37" s="235">
        <v>38.53</v>
      </c>
      <c r="K37" s="235">
        <v>17.96</v>
      </c>
      <c r="L37" s="235">
        <v>21.55</v>
      </c>
      <c r="M37" s="236">
        <f>J37/L37*100</f>
        <v>178.79</v>
      </c>
      <c r="N37" s="135"/>
    </row>
    <row r="38" spans="1:14" ht="47.25">
      <c r="A38" s="130" t="s">
        <v>173</v>
      </c>
      <c r="B38" s="130" t="s">
        <v>181</v>
      </c>
      <c r="C38" s="130" t="s">
        <v>173</v>
      </c>
      <c r="D38" s="136"/>
      <c r="E38" s="137"/>
      <c r="F38" s="137"/>
      <c r="G38" s="132" t="s">
        <v>174</v>
      </c>
      <c r="H38" s="133" t="s">
        <v>178</v>
      </c>
      <c r="I38" s="235">
        <v>11.01</v>
      </c>
      <c r="J38" s="235">
        <v>13.21</v>
      </c>
      <c r="K38" s="235">
        <v>6.18</v>
      </c>
      <c r="L38" s="235">
        <v>7.42</v>
      </c>
      <c r="M38" s="236">
        <f>J38/L38*100</f>
        <v>178.03</v>
      </c>
      <c r="N38" s="135"/>
    </row>
    <row r="39" spans="1:14" ht="47.25">
      <c r="A39" s="130" t="s">
        <v>173</v>
      </c>
      <c r="B39" s="130" t="s">
        <v>181</v>
      </c>
      <c r="C39" s="130" t="s">
        <v>176</v>
      </c>
      <c r="D39" s="136"/>
      <c r="E39" s="137"/>
      <c r="F39" s="137"/>
      <c r="G39" s="132" t="s">
        <v>177</v>
      </c>
      <c r="H39" s="133" t="s">
        <v>178</v>
      </c>
      <c r="I39" s="235">
        <v>6.16</v>
      </c>
      <c r="J39" s="235">
        <v>7.39</v>
      </c>
      <c r="K39" s="235">
        <v>3.42</v>
      </c>
      <c r="L39" s="235">
        <v>4.0999999999999996</v>
      </c>
      <c r="M39" s="236">
        <f>J39/L39*100</f>
        <v>180.24</v>
      </c>
      <c r="N39" s="135"/>
    </row>
    <row r="40" spans="1:14" ht="31.5">
      <c r="A40" s="130" t="s">
        <v>173</v>
      </c>
      <c r="B40" s="130" t="s">
        <v>183</v>
      </c>
      <c r="C40" s="130"/>
      <c r="D40" s="136"/>
      <c r="E40" s="137"/>
      <c r="F40" s="137"/>
      <c r="G40" s="132" t="s">
        <v>192</v>
      </c>
      <c r="H40" s="133"/>
      <c r="I40" s="235"/>
      <c r="J40" s="235"/>
      <c r="K40" s="235"/>
      <c r="L40" s="235"/>
      <c r="M40" s="236"/>
      <c r="N40" s="135"/>
    </row>
    <row r="41" spans="1:14" ht="31.5">
      <c r="A41" s="130" t="s">
        <v>173</v>
      </c>
      <c r="B41" s="130" t="s">
        <v>183</v>
      </c>
      <c r="C41" s="130" t="s">
        <v>169</v>
      </c>
      <c r="D41" s="136"/>
      <c r="E41" s="137"/>
      <c r="F41" s="137"/>
      <c r="G41" s="132" t="s">
        <v>55</v>
      </c>
      <c r="H41" s="133" t="s">
        <v>172</v>
      </c>
      <c r="I41" s="235">
        <v>5.04</v>
      </c>
      <c r="J41" s="235">
        <v>6.05</v>
      </c>
      <c r="K41" s="235">
        <v>2.85</v>
      </c>
      <c r="L41" s="235">
        <v>3.42</v>
      </c>
      <c r="M41" s="236">
        <f t="shared" ref="M41:M48" si="0">J41/L41*100</f>
        <v>176.9</v>
      </c>
      <c r="N41" s="135"/>
    </row>
    <row r="42" spans="1:14" ht="47.25">
      <c r="A42" s="130" t="s">
        <v>173</v>
      </c>
      <c r="B42" s="130" t="s">
        <v>183</v>
      </c>
      <c r="C42" s="130" t="s">
        <v>173</v>
      </c>
      <c r="D42" s="136"/>
      <c r="E42" s="137"/>
      <c r="F42" s="137"/>
      <c r="G42" s="132" t="s">
        <v>174</v>
      </c>
      <c r="H42" s="133" t="s">
        <v>178</v>
      </c>
      <c r="I42" s="235">
        <v>4.49</v>
      </c>
      <c r="J42" s="235">
        <v>5.39</v>
      </c>
      <c r="K42" s="235">
        <v>2.46</v>
      </c>
      <c r="L42" s="235">
        <v>2.95</v>
      </c>
      <c r="M42" s="236">
        <f t="shared" si="0"/>
        <v>182.71</v>
      </c>
      <c r="N42" s="135"/>
    </row>
    <row r="43" spans="1:14" ht="53.25" customHeight="1">
      <c r="A43" s="130" t="s">
        <v>173</v>
      </c>
      <c r="B43" s="130" t="s">
        <v>183</v>
      </c>
      <c r="C43" s="130" t="s">
        <v>176</v>
      </c>
      <c r="D43" s="136"/>
      <c r="E43" s="137"/>
      <c r="F43" s="137"/>
      <c r="G43" s="132" t="s">
        <v>177</v>
      </c>
      <c r="H43" s="133" t="s">
        <v>178</v>
      </c>
      <c r="I43" s="235">
        <v>3.55</v>
      </c>
      <c r="J43" s="235">
        <v>4.26</v>
      </c>
      <c r="K43" s="235">
        <v>1.99</v>
      </c>
      <c r="L43" s="235">
        <v>2.39</v>
      </c>
      <c r="M43" s="236">
        <f t="shared" si="0"/>
        <v>178.24</v>
      </c>
      <c r="N43" s="135"/>
    </row>
    <row r="44" spans="1:14" ht="54.75" customHeight="1">
      <c r="A44" s="130" t="s">
        <v>173</v>
      </c>
      <c r="B44" s="130" t="s">
        <v>184</v>
      </c>
      <c r="C44" s="130"/>
      <c r="D44" s="136"/>
      <c r="E44" s="137"/>
      <c r="F44" s="137"/>
      <c r="G44" s="132" t="s">
        <v>193</v>
      </c>
      <c r="H44" s="133" t="s">
        <v>182</v>
      </c>
      <c r="I44" s="235">
        <v>13.82</v>
      </c>
      <c r="J44" s="235">
        <v>16.579999999999998</v>
      </c>
      <c r="K44" s="235">
        <v>7.72</v>
      </c>
      <c r="L44" s="235">
        <v>9.26</v>
      </c>
      <c r="M44" s="236">
        <f t="shared" si="0"/>
        <v>179.05</v>
      </c>
      <c r="N44" s="135"/>
    </row>
    <row r="45" spans="1:14" ht="55.5" customHeight="1">
      <c r="A45" s="130" t="s">
        <v>173</v>
      </c>
      <c r="B45" s="130" t="s">
        <v>186</v>
      </c>
      <c r="C45" s="130"/>
      <c r="D45" s="136"/>
      <c r="E45" s="137"/>
      <c r="F45" s="137"/>
      <c r="G45" s="132" t="s">
        <v>194</v>
      </c>
      <c r="H45" s="133" t="s">
        <v>178</v>
      </c>
      <c r="I45" s="235">
        <v>16.59</v>
      </c>
      <c r="J45" s="235">
        <v>19.91</v>
      </c>
      <c r="K45" s="235">
        <v>9.27</v>
      </c>
      <c r="L45" s="235">
        <v>11.12</v>
      </c>
      <c r="M45" s="236">
        <f t="shared" si="0"/>
        <v>179.05</v>
      </c>
      <c r="N45" s="135"/>
    </row>
    <row r="46" spans="1:14" ht="39" customHeight="1">
      <c r="A46" s="130" t="s">
        <v>173</v>
      </c>
      <c r="B46" s="130" t="s">
        <v>195</v>
      </c>
      <c r="C46" s="130"/>
      <c r="D46" s="136"/>
      <c r="E46" s="137"/>
      <c r="F46" s="137"/>
      <c r="G46" s="132" t="s">
        <v>196</v>
      </c>
      <c r="H46" s="133" t="s">
        <v>172</v>
      </c>
      <c r="I46" s="235">
        <v>0.37</v>
      </c>
      <c r="J46" s="235">
        <v>0.44</v>
      </c>
      <c r="K46" s="235">
        <v>0.21</v>
      </c>
      <c r="L46" s="235">
        <v>0.25</v>
      </c>
      <c r="M46" s="236">
        <f t="shared" si="0"/>
        <v>176</v>
      </c>
      <c r="N46" s="135"/>
    </row>
    <row r="47" spans="1:14" ht="34.5" customHeight="1">
      <c r="A47" s="130" t="s">
        <v>173</v>
      </c>
      <c r="B47" s="130" t="s">
        <v>197</v>
      </c>
      <c r="C47" s="130"/>
      <c r="D47" s="136"/>
      <c r="E47" s="137"/>
      <c r="F47" s="137"/>
      <c r="G47" s="132" t="s">
        <v>198</v>
      </c>
      <c r="H47" s="133" t="s">
        <v>172</v>
      </c>
      <c r="I47" s="235">
        <v>2.06</v>
      </c>
      <c r="J47" s="235">
        <v>2.4700000000000002</v>
      </c>
      <c r="K47" s="235">
        <v>1.1399999999999999</v>
      </c>
      <c r="L47" s="235">
        <v>1.37</v>
      </c>
      <c r="M47" s="236">
        <f t="shared" si="0"/>
        <v>180.29</v>
      </c>
      <c r="N47" s="135"/>
    </row>
    <row r="48" spans="1:14" ht="56.25" customHeight="1">
      <c r="A48" s="130" t="s">
        <v>173</v>
      </c>
      <c r="B48" s="130" t="s">
        <v>199</v>
      </c>
      <c r="C48" s="130"/>
      <c r="D48" s="136"/>
      <c r="E48" s="137"/>
      <c r="F48" s="137"/>
      <c r="G48" s="132" t="s">
        <v>200</v>
      </c>
      <c r="H48" s="133" t="s">
        <v>201</v>
      </c>
      <c r="I48" s="235">
        <v>69.41</v>
      </c>
      <c r="J48" s="235">
        <v>83.29</v>
      </c>
      <c r="K48" s="235">
        <v>38.83</v>
      </c>
      <c r="L48" s="235">
        <v>46.6</v>
      </c>
      <c r="M48" s="236">
        <f t="shared" si="0"/>
        <v>178.73</v>
      </c>
      <c r="N48" s="135"/>
    </row>
    <row r="49" spans="1:14" ht="1.5" customHeight="1">
      <c r="A49" s="130" t="s">
        <v>173</v>
      </c>
      <c r="B49" s="130" t="s">
        <v>202</v>
      </c>
      <c r="C49" s="130"/>
      <c r="D49" s="136"/>
      <c r="E49" s="137"/>
      <c r="F49" s="137"/>
      <c r="G49" s="132" t="s">
        <v>203</v>
      </c>
      <c r="H49" s="133" t="s">
        <v>201</v>
      </c>
      <c r="I49" s="235"/>
      <c r="J49" s="235"/>
      <c r="K49" s="235"/>
      <c r="L49" s="235"/>
      <c r="M49" s="236"/>
      <c r="N49" s="135"/>
    </row>
    <row r="50" spans="1:14" ht="36" customHeight="1">
      <c r="A50" s="130" t="s">
        <v>173</v>
      </c>
      <c r="B50" s="130" t="s">
        <v>204</v>
      </c>
      <c r="C50" s="130"/>
      <c r="D50" s="136"/>
      <c r="E50" s="137"/>
      <c r="F50" s="137"/>
      <c r="G50" s="132" t="s">
        <v>107</v>
      </c>
      <c r="H50" s="133" t="s">
        <v>172</v>
      </c>
      <c r="I50" s="235">
        <v>20.71</v>
      </c>
      <c r="J50" s="235">
        <v>24.85</v>
      </c>
      <c r="K50" s="235">
        <v>11.58</v>
      </c>
      <c r="L50" s="235">
        <v>13.9</v>
      </c>
      <c r="M50" s="236">
        <f>J50/L50*100</f>
        <v>178.78</v>
      </c>
      <c r="N50" s="135"/>
    </row>
    <row r="51" spans="1:14" ht="1.5" customHeight="1">
      <c r="A51" s="130" t="s">
        <v>173</v>
      </c>
      <c r="B51" s="130" t="s">
        <v>205</v>
      </c>
      <c r="C51" s="130"/>
      <c r="D51" s="136"/>
      <c r="E51" s="137"/>
      <c r="F51" s="137"/>
      <c r="G51" s="132" t="s">
        <v>206</v>
      </c>
      <c r="H51" s="133"/>
      <c r="I51" s="235"/>
      <c r="J51" s="235"/>
      <c r="K51" s="235"/>
      <c r="L51" s="235"/>
      <c r="M51" s="236"/>
      <c r="N51" s="135"/>
    </row>
    <row r="52" spans="1:14" ht="15" hidden="1" customHeight="1">
      <c r="A52" s="130" t="s">
        <v>173</v>
      </c>
      <c r="B52" s="130" t="s">
        <v>205</v>
      </c>
      <c r="C52" s="130" t="s">
        <v>169</v>
      </c>
      <c r="D52" s="136"/>
      <c r="E52" s="137"/>
      <c r="F52" s="137"/>
      <c r="G52" s="132" t="s">
        <v>207</v>
      </c>
      <c r="H52" s="133" t="s">
        <v>208</v>
      </c>
      <c r="I52" s="235"/>
      <c r="J52" s="235"/>
      <c r="K52" s="235"/>
      <c r="L52" s="235"/>
      <c r="M52" s="236"/>
      <c r="N52" s="135"/>
    </row>
    <row r="53" spans="1:14" ht="15" hidden="1" customHeight="1">
      <c r="A53" s="130" t="s">
        <v>173</v>
      </c>
      <c r="B53" s="130" t="s">
        <v>205</v>
      </c>
      <c r="C53" s="130" t="s">
        <v>173</v>
      </c>
      <c r="D53" s="136"/>
      <c r="E53" s="137"/>
      <c r="F53" s="137"/>
      <c r="G53" s="132" t="s">
        <v>209</v>
      </c>
      <c r="H53" s="133" t="s">
        <v>208</v>
      </c>
      <c r="I53" s="235"/>
      <c r="J53" s="235"/>
      <c r="K53" s="235"/>
      <c r="L53" s="235"/>
      <c r="M53" s="236"/>
      <c r="N53" s="135"/>
    </row>
    <row r="54" spans="1:14" ht="22.5" customHeight="1">
      <c r="A54" s="130" t="s">
        <v>176</v>
      </c>
      <c r="B54" s="130"/>
      <c r="C54" s="130"/>
      <c r="D54" s="136"/>
      <c r="E54" s="137"/>
      <c r="F54" s="137"/>
      <c r="G54" s="173" t="s">
        <v>210</v>
      </c>
      <c r="H54" s="133"/>
      <c r="I54" s="235"/>
      <c r="J54" s="235"/>
      <c r="K54" s="235"/>
      <c r="L54" s="235"/>
      <c r="M54" s="236"/>
      <c r="N54" s="135"/>
    </row>
    <row r="55" spans="1:14" ht="31.5">
      <c r="A55" s="130" t="s">
        <v>176</v>
      </c>
      <c r="B55" s="130" t="s">
        <v>169</v>
      </c>
      <c r="C55" s="130"/>
      <c r="D55" s="136"/>
      <c r="E55" s="137"/>
      <c r="F55" s="137"/>
      <c r="G55" s="132" t="s">
        <v>211</v>
      </c>
      <c r="H55" s="133"/>
      <c r="I55" s="235"/>
      <c r="J55" s="235"/>
      <c r="K55" s="235"/>
      <c r="L55" s="235"/>
      <c r="M55" s="236"/>
      <c r="N55" s="135"/>
    </row>
    <row r="56" spans="1:14" ht="31.5">
      <c r="A56" s="130" t="s">
        <v>176</v>
      </c>
      <c r="B56" s="130" t="s">
        <v>169</v>
      </c>
      <c r="C56" s="130" t="s">
        <v>169</v>
      </c>
      <c r="D56" s="136"/>
      <c r="E56" s="137"/>
      <c r="F56" s="137"/>
      <c r="G56" s="132" t="s">
        <v>212</v>
      </c>
      <c r="H56" s="133" t="s">
        <v>172</v>
      </c>
      <c r="I56" s="235">
        <v>7.82</v>
      </c>
      <c r="J56" s="235">
        <v>9.3800000000000008</v>
      </c>
      <c r="K56" s="235">
        <v>4.4800000000000004</v>
      </c>
      <c r="L56" s="235">
        <v>5.38</v>
      </c>
      <c r="M56" s="236">
        <f t="shared" ref="M56:M61" si="1">J56/L56*100</f>
        <v>174.35</v>
      </c>
      <c r="N56" s="135"/>
    </row>
    <row r="57" spans="1:14" ht="31.5">
      <c r="A57" s="130" t="s">
        <v>176</v>
      </c>
      <c r="B57" s="130" t="s">
        <v>169</v>
      </c>
      <c r="C57" s="130" t="s">
        <v>173</v>
      </c>
      <c r="D57" s="136"/>
      <c r="E57" s="137"/>
      <c r="F57" s="137"/>
      <c r="G57" s="132" t="s">
        <v>213</v>
      </c>
      <c r="H57" s="133" t="s">
        <v>172</v>
      </c>
      <c r="I57" s="235">
        <v>13.07</v>
      </c>
      <c r="J57" s="235">
        <v>15.68</v>
      </c>
      <c r="K57" s="235">
        <v>7.33</v>
      </c>
      <c r="L57" s="235">
        <v>8.8000000000000007</v>
      </c>
      <c r="M57" s="236">
        <f t="shared" si="1"/>
        <v>178.18</v>
      </c>
      <c r="N57" s="135"/>
    </row>
    <row r="58" spans="1:14" ht="31.5">
      <c r="A58" s="130" t="s">
        <v>176</v>
      </c>
      <c r="B58" s="130" t="s">
        <v>169</v>
      </c>
      <c r="C58" s="130" t="s">
        <v>176</v>
      </c>
      <c r="D58" s="136"/>
      <c r="E58" s="137"/>
      <c r="F58" s="137"/>
      <c r="G58" s="132" t="s">
        <v>214</v>
      </c>
      <c r="H58" s="133" t="s">
        <v>172</v>
      </c>
      <c r="I58" s="235">
        <v>15.67</v>
      </c>
      <c r="J58" s="235">
        <v>18.8</v>
      </c>
      <c r="K58" s="235">
        <v>8.76</v>
      </c>
      <c r="L58" s="235">
        <v>10.51</v>
      </c>
      <c r="M58" s="236">
        <f t="shared" si="1"/>
        <v>178.88</v>
      </c>
      <c r="N58" s="135"/>
    </row>
    <row r="59" spans="1:14" ht="31.5">
      <c r="A59" s="130" t="s">
        <v>176</v>
      </c>
      <c r="B59" s="130" t="s">
        <v>169</v>
      </c>
      <c r="C59" s="130" t="s">
        <v>181</v>
      </c>
      <c r="D59" s="136"/>
      <c r="E59" s="137"/>
      <c r="F59" s="137"/>
      <c r="G59" s="132" t="s">
        <v>215</v>
      </c>
      <c r="H59" s="133" t="s">
        <v>172</v>
      </c>
      <c r="I59" s="235">
        <v>19.579999999999998</v>
      </c>
      <c r="J59" s="235">
        <v>23.5</v>
      </c>
      <c r="K59" s="235">
        <v>11.41</v>
      </c>
      <c r="L59" s="235">
        <v>13.69</v>
      </c>
      <c r="M59" s="236">
        <f t="shared" si="1"/>
        <v>171.66</v>
      </c>
      <c r="N59" s="135"/>
    </row>
    <row r="60" spans="1:14" ht="31.5">
      <c r="A60" s="130" t="s">
        <v>176</v>
      </c>
      <c r="B60" s="130" t="s">
        <v>169</v>
      </c>
      <c r="C60" s="130" t="s">
        <v>183</v>
      </c>
      <c r="D60" s="136"/>
      <c r="E60" s="137"/>
      <c r="F60" s="137"/>
      <c r="G60" s="132" t="s">
        <v>216</v>
      </c>
      <c r="H60" s="133" t="s">
        <v>172</v>
      </c>
      <c r="I60" s="235">
        <v>15.67</v>
      </c>
      <c r="J60" s="235">
        <v>18.8</v>
      </c>
      <c r="K60" s="235">
        <v>8.76</v>
      </c>
      <c r="L60" s="235">
        <v>10.51</v>
      </c>
      <c r="M60" s="236">
        <f t="shared" si="1"/>
        <v>178.88</v>
      </c>
      <c r="N60" s="135"/>
    </row>
    <row r="61" spans="1:14" ht="31.5">
      <c r="A61" s="130" t="s">
        <v>176</v>
      </c>
      <c r="B61" s="130" t="s">
        <v>169</v>
      </c>
      <c r="C61" s="130" t="s">
        <v>184</v>
      </c>
      <c r="D61" s="136"/>
      <c r="E61" s="137"/>
      <c r="F61" s="137"/>
      <c r="G61" s="132" t="s">
        <v>217</v>
      </c>
      <c r="H61" s="133" t="s">
        <v>172</v>
      </c>
      <c r="I61" s="235">
        <v>26.11</v>
      </c>
      <c r="J61" s="235">
        <v>31.33</v>
      </c>
      <c r="K61" s="235">
        <v>14.6</v>
      </c>
      <c r="L61" s="235">
        <v>17.52</v>
      </c>
      <c r="M61" s="236">
        <f t="shared" si="1"/>
        <v>178.82</v>
      </c>
      <c r="N61" s="135"/>
    </row>
    <row r="62" spans="1:14" ht="47.25">
      <c r="A62" s="130" t="s">
        <v>176</v>
      </c>
      <c r="B62" s="130" t="s">
        <v>173</v>
      </c>
      <c r="C62" s="130"/>
      <c r="D62" s="136"/>
      <c r="E62" s="137"/>
      <c r="F62" s="137"/>
      <c r="G62" s="132" t="s">
        <v>218</v>
      </c>
      <c r="H62" s="133"/>
      <c r="I62" s="235"/>
      <c r="J62" s="235"/>
      <c r="K62" s="235"/>
      <c r="L62" s="235"/>
      <c r="M62" s="236"/>
      <c r="N62" s="135"/>
    </row>
    <row r="63" spans="1:14" ht="31.5">
      <c r="A63" s="130" t="s">
        <v>176</v>
      </c>
      <c r="B63" s="130" t="s">
        <v>173</v>
      </c>
      <c r="C63" s="130" t="s">
        <v>169</v>
      </c>
      <c r="D63" s="136"/>
      <c r="E63" s="137"/>
      <c r="F63" s="137"/>
      <c r="G63" s="132" t="s">
        <v>55</v>
      </c>
      <c r="H63" s="133" t="s">
        <v>172</v>
      </c>
      <c r="I63" s="235">
        <v>19.579999999999998</v>
      </c>
      <c r="J63" s="235">
        <v>23.5</v>
      </c>
      <c r="K63" s="235">
        <v>10.96</v>
      </c>
      <c r="L63" s="235">
        <v>13.15</v>
      </c>
      <c r="M63" s="236">
        <f>J63/L63*100</f>
        <v>178.71</v>
      </c>
      <c r="N63" s="135"/>
    </row>
    <row r="64" spans="1:14" ht="31.5">
      <c r="A64" s="130" t="s">
        <v>176</v>
      </c>
      <c r="B64" s="130" t="s">
        <v>173</v>
      </c>
      <c r="C64" s="130" t="s">
        <v>173</v>
      </c>
      <c r="D64" s="136"/>
      <c r="E64" s="137"/>
      <c r="F64" s="137"/>
      <c r="G64" s="132" t="s">
        <v>219</v>
      </c>
      <c r="H64" s="133" t="s">
        <v>172</v>
      </c>
      <c r="I64" s="235">
        <v>26.11</v>
      </c>
      <c r="J64" s="235">
        <v>31.33</v>
      </c>
      <c r="K64" s="235">
        <v>14.6</v>
      </c>
      <c r="L64" s="235">
        <v>17.52</v>
      </c>
      <c r="M64" s="236">
        <f>J64/L64*100</f>
        <v>178.82</v>
      </c>
      <c r="N64" s="135"/>
    </row>
    <row r="65" spans="1:14" ht="50.25" customHeight="1">
      <c r="A65" s="130" t="s">
        <v>176</v>
      </c>
      <c r="B65" s="130" t="s">
        <v>173</v>
      </c>
      <c r="C65" s="130" t="s">
        <v>176</v>
      </c>
      <c r="D65" s="136"/>
      <c r="E65" s="137"/>
      <c r="F65" s="137"/>
      <c r="G65" s="132" t="s">
        <v>220</v>
      </c>
      <c r="H65" s="133" t="s">
        <v>178</v>
      </c>
      <c r="I65" s="235">
        <v>11.19</v>
      </c>
      <c r="J65" s="235">
        <v>13.43</v>
      </c>
      <c r="K65" s="235">
        <v>6.27</v>
      </c>
      <c r="L65" s="235">
        <v>7.52</v>
      </c>
      <c r="M65" s="236">
        <f>J65/L65*100</f>
        <v>178.59</v>
      </c>
      <c r="N65" s="135"/>
    </row>
    <row r="66" spans="1:14" ht="51" customHeight="1">
      <c r="A66" s="130" t="s">
        <v>176</v>
      </c>
      <c r="B66" s="130" t="s">
        <v>176</v>
      </c>
      <c r="C66" s="130"/>
      <c r="D66" s="136"/>
      <c r="E66" s="137"/>
      <c r="F66" s="137"/>
      <c r="G66" s="132" t="s">
        <v>221</v>
      </c>
      <c r="H66" s="133" t="s">
        <v>178</v>
      </c>
      <c r="I66" s="235">
        <v>10.45</v>
      </c>
      <c r="J66" s="235">
        <v>12.54</v>
      </c>
      <c r="K66" s="235">
        <v>5.85</v>
      </c>
      <c r="L66" s="235">
        <v>7.02</v>
      </c>
      <c r="M66" s="236">
        <f>J66/L66*100</f>
        <v>178.63</v>
      </c>
      <c r="N66" s="135"/>
    </row>
    <row r="67" spans="1:14" ht="2.25" customHeight="1">
      <c r="A67" s="130" t="s">
        <v>176</v>
      </c>
      <c r="B67" s="130" t="s">
        <v>181</v>
      </c>
      <c r="C67" s="130"/>
      <c r="D67" s="136"/>
      <c r="E67" s="137"/>
      <c r="F67" s="137"/>
      <c r="G67" s="132" t="s">
        <v>222</v>
      </c>
      <c r="H67" s="133" t="s">
        <v>223</v>
      </c>
      <c r="I67" s="235"/>
      <c r="J67" s="235"/>
      <c r="K67" s="235"/>
      <c r="L67" s="235"/>
      <c r="M67" s="236"/>
      <c r="N67" s="135"/>
    </row>
    <row r="68" spans="1:14" ht="52.5" customHeight="1">
      <c r="A68" s="130" t="s">
        <v>176</v>
      </c>
      <c r="B68" s="130" t="s">
        <v>183</v>
      </c>
      <c r="C68" s="130"/>
      <c r="D68" s="136"/>
      <c r="E68" s="137"/>
      <c r="F68" s="137"/>
      <c r="G68" s="172" t="s">
        <v>224</v>
      </c>
      <c r="H68" s="172"/>
      <c r="I68" s="237"/>
      <c r="J68" s="237"/>
      <c r="K68" s="237"/>
      <c r="L68" s="237"/>
      <c r="M68" s="236"/>
      <c r="N68" s="135"/>
    </row>
    <row r="69" spans="1:14" ht="31.5">
      <c r="A69" s="130" t="s">
        <v>176</v>
      </c>
      <c r="B69" s="130" t="s">
        <v>183</v>
      </c>
      <c r="C69" s="130" t="s">
        <v>169</v>
      </c>
      <c r="D69" s="136"/>
      <c r="E69" s="137"/>
      <c r="F69" s="137"/>
      <c r="G69" s="132" t="s">
        <v>225</v>
      </c>
      <c r="H69" s="133" t="s">
        <v>226</v>
      </c>
      <c r="I69" s="235">
        <v>23.7</v>
      </c>
      <c r="J69" s="235">
        <v>28.44</v>
      </c>
      <c r="K69" s="235">
        <v>13.26</v>
      </c>
      <c r="L69" s="235">
        <v>15.91</v>
      </c>
      <c r="M69" s="236">
        <f>J69/L69*100</f>
        <v>178.76</v>
      </c>
      <c r="N69" s="135"/>
    </row>
    <row r="70" spans="1:14" ht="38.25" customHeight="1">
      <c r="A70" s="130" t="s">
        <v>176</v>
      </c>
      <c r="B70" s="130" t="s">
        <v>183</v>
      </c>
      <c r="C70" s="130" t="s">
        <v>173</v>
      </c>
      <c r="D70" s="136"/>
      <c r="E70" s="137"/>
      <c r="F70" s="137"/>
      <c r="G70" s="132" t="s">
        <v>227</v>
      </c>
      <c r="H70" s="133" t="s">
        <v>228</v>
      </c>
      <c r="I70" s="235">
        <v>32.64</v>
      </c>
      <c r="J70" s="235">
        <v>39.17</v>
      </c>
      <c r="K70" s="235">
        <v>18.260000000000002</v>
      </c>
      <c r="L70" s="235">
        <v>21.91</v>
      </c>
      <c r="M70" s="236">
        <f>J70/L70*100</f>
        <v>178.78</v>
      </c>
      <c r="N70" s="135"/>
    </row>
    <row r="71" spans="1:14" ht="1.5" hidden="1" customHeight="1">
      <c r="A71" s="130" t="s">
        <v>176</v>
      </c>
      <c r="B71" s="130" t="s">
        <v>184</v>
      </c>
      <c r="C71" s="130"/>
      <c r="D71" s="136"/>
      <c r="E71" s="137"/>
      <c r="F71" s="137"/>
      <c r="G71" s="132" t="s">
        <v>229</v>
      </c>
      <c r="H71" s="133"/>
      <c r="I71" s="235"/>
      <c r="J71" s="235"/>
      <c r="K71" s="235"/>
      <c r="L71" s="235"/>
      <c r="M71" s="236"/>
      <c r="N71" s="135"/>
    </row>
    <row r="72" spans="1:14" ht="15" hidden="1" customHeight="1">
      <c r="A72" s="130" t="s">
        <v>176</v>
      </c>
      <c r="B72" s="130" t="s">
        <v>184</v>
      </c>
      <c r="C72" s="130" t="s">
        <v>169</v>
      </c>
      <c r="D72" s="136"/>
      <c r="E72" s="137"/>
      <c r="F72" s="137"/>
      <c r="G72" s="132" t="s">
        <v>225</v>
      </c>
      <c r="H72" s="133" t="s">
        <v>226</v>
      </c>
      <c r="I72" s="235"/>
      <c r="J72" s="235"/>
      <c r="K72" s="235"/>
      <c r="L72" s="235"/>
      <c r="M72" s="236" t="e">
        <f>J72/L72*100</f>
        <v>#DIV/0!</v>
      </c>
      <c r="N72" s="135"/>
    </row>
    <row r="73" spans="1:14" ht="15" hidden="1" customHeight="1">
      <c r="A73" s="130" t="s">
        <v>176</v>
      </c>
      <c r="B73" s="130" t="s">
        <v>184</v>
      </c>
      <c r="C73" s="130" t="s">
        <v>173</v>
      </c>
      <c r="D73" s="136"/>
      <c r="E73" s="137"/>
      <c r="F73" s="137"/>
      <c r="G73" s="132" t="s">
        <v>227</v>
      </c>
      <c r="H73" s="133" t="s">
        <v>228</v>
      </c>
      <c r="I73" s="235"/>
      <c r="J73" s="235"/>
      <c r="K73" s="235"/>
      <c r="L73" s="235"/>
      <c r="M73" s="236"/>
      <c r="N73" s="135"/>
    </row>
    <row r="74" spans="1:14" ht="72.75" customHeight="1">
      <c r="A74" s="130" t="s">
        <v>176</v>
      </c>
      <c r="B74" s="130" t="s">
        <v>186</v>
      </c>
      <c r="C74" s="130"/>
      <c r="D74" s="136"/>
      <c r="E74" s="137"/>
      <c r="F74" s="137"/>
      <c r="G74" s="132" t="s">
        <v>230</v>
      </c>
      <c r="H74" s="133"/>
      <c r="I74" s="235"/>
      <c r="J74" s="235"/>
      <c r="K74" s="235"/>
      <c r="L74" s="235"/>
      <c r="M74" s="236"/>
      <c r="N74" s="135"/>
    </row>
    <row r="75" spans="1:14" ht="37.5" customHeight="1">
      <c r="A75" s="130" t="s">
        <v>176</v>
      </c>
      <c r="B75" s="130" t="s">
        <v>186</v>
      </c>
      <c r="C75" s="130" t="s">
        <v>169</v>
      </c>
      <c r="D75" s="136"/>
      <c r="E75" s="137"/>
      <c r="F75" s="137"/>
      <c r="G75" s="132" t="s">
        <v>225</v>
      </c>
      <c r="H75" s="133" t="s">
        <v>226</v>
      </c>
      <c r="I75" s="235">
        <v>18.649999999999999</v>
      </c>
      <c r="J75" s="235">
        <v>22.38</v>
      </c>
      <c r="K75" s="235">
        <v>10.43</v>
      </c>
      <c r="L75" s="235">
        <v>12.52</v>
      </c>
      <c r="M75" s="236">
        <f>J75/L75*100</f>
        <v>178.75</v>
      </c>
      <c r="N75" s="135"/>
    </row>
    <row r="76" spans="1:14" ht="41.25" customHeight="1">
      <c r="A76" s="130" t="s">
        <v>176</v>
      </c>
      <c r="B76" s="130" t="s">
        <v>186</v>
      </c>
      <c r="C76" s="130" t="s">
        <v>173</v>
      </c>
      <c r="D76" s="136"/>
      <c r="E76" s="137"/>
      <c r="F76" s="137"/>
      <c r="G76" s="132" t="s">
        <v>227</v>
      </c>
      <c r="H76" s="133" t="s">
        <v>228</v>
      </c>
      <c r="I76" s="235">
        <v>27.99</v>
      </c>
      <c r="J76" s="235">
        <v>33.590000000000003</v>
      </c>
      <c r="K76" s="235">
        <v>15.66</v>
      </c>
      <c r="L76" s="235">
        <v>18.79</v>
      </c>
      <c r="M76" s="236">
        <f>J76/L76*100</f>
        <v>178.77</v>
      </c>
      <c r="N76" s="135"/>
    </row>
    <row r="77" spans="1:14" ht="18" customHeight="1">
      <c r="A77" s="130" t="s">
        <v>176</v>
      </c>
      <c r="B77" s="130" t="s">
        <v>195</v>
      </c>
      <c r="C77" s="130"/>
      <c r="D77" s="136"/>
      <c r="E77" s="137"/>
      <c r="F77" s="137"/>
      <c r="G77" s="132" t="s">
        <v>152</v>
      </c>
      <c r="H77" s="133" t="s">
        <v>172</v>
      </c>
      <c r="I77" s="235">
        <v>0.75</v>
      </c>
      <c r="J77" s="235">
        <v>0.9</v>
      </c>
      <c r="K77" s="235">
        <v>0.4</v>
      </c>
      <c r="L77" s="235">
        <v>0.48</v>
      </c>
      <c r="M77" s="236">
        <f>J77/L77*100</f>
        <v>187.5</v>
      </c>
      <c r="N77" s="135"/>
    </row>
    <row r="78" spans="1:14" ht="31.5">
      <c r="A78" s="130" t="s">
        <v>176</v>
      </c>
      <c r="B78" s="130" t="s">
        <v>197</v>
      </c>
      <c r="C78" s="130"/>
      <c r="D78" s="136"/>
      <c r="E78" s="137"/>
      <c r="F78" s="137"/>
      <c r="G78" s="132" t="s">
        <v>149</v>
      </c>
      <c r="H78" s="133" t="s">
        <v>172</v>
      </c>
      <c r="I78" s="235">
        <v>15.67</v>
      </c>
      <c r="J78" s="235">
        <v>18.8</v>
      </c>
      <c r="K78" s="235">
        <v>8.76</v>
      </c>
      <c r="L78" s="235">
        <v>10.51</v>
      </c>
      <c r="M78" s="236">
        <f>J78/L78*100</f>
        <v>178.88</v>
      </c>
      <c r="N78" s="135"/>
    </row>
    <row r="79" spans="1:14" ht="31.5" hidden="1">
      <c r="A79" s="130" t="s">
        <v>176</v>
      </c>
      <c r="B79" s="130" t="s">
        <v>199</v>
      </c>
      <c r="C79" s="130"/>
      <c r="D79" s="136"/>
      <c r="E79" s="137"/>
      <c r="F79" s="137"/>
      <c r="G79" s="132" t="s">
        <v>231</v>
      </c>
      <c r="H79" s="133" t="s">
        <v>172</v>
      </c>
      <c r="I79" s="138"/>
      <c r="J79" s="138"/>
      <c r="K79" s="139"/>
      <c r="L79" s="139"/>
      <c r="M79" s="134"/>
      <c r="N79" s="135"/>
    </row>
    <row r="80" spans="1:14" ht="4.5" customHeight="1">
      <c r="A80" s="140"/>
      <c r="B80" s="141"/>
      <c r="C80" s="141"/>
      <c r="D80" s="142"/>
      <c r="E80" s="142"/>
      <c r="F80" s="142"/>
      <c r="G80" s="143"/>
      <c r="H80" s="144"/>
      <c r="I80" s="135"/>
      <c r="J80" s="135"/>
      <c r="K80" s="135"/>
      <c r="L80" s="135"/>
      <c r="M80" s="134"/>
      <c r="N80" s="135"/>
    </row>
    <row r="81" spans="1:14" ht="1.5" customHeight="1">
      <c r="A81" s="145"/>
      <c r="B81" s="145"/>
      <c r="C81" s="146"/>
      <c r="D81" s="147"/>
      <c r="E81" s="147"/>
      <c r="F81" s="147"/>
      <c r="G81" s="148"/>
      <c r="H81" s="149"/>
      <c r="I81" s="150"/>
      <c r="J81" s="150"/>
      <c r="K81" s="135"/>
      <c r="L81" s="135"/>
      <c r="M81" s="134"/>
      <c r="N81" s="135"/>
    </row>
    <row r="82" spans="1:14" ht="42" customHeight="1">
      <c r="A82" s="256" t="s">
        <v>232</v>
      </c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134"/>
    </row>
    <row r="83" spans="1:14" ht="9.75" customHeight="1">
      <c r="A83" s="151"/>
      <c r="B83" s="151"/>
      <c r="C83" s="151"/>
      <c r="D83" s="151"/>
      <c r="E83" s="151"/>
      <c r="F83" s="151"/>
      <c r="G83" s="151"/>
      <c r="H83" s="152"/>
      <c r="I83" s="152"/>
      <c r="J83" s="152"/>
      <c r="K83" s="152"/>
      <c r="L83" s="152"/>
      <c r="M83" s="152"/>
      <c r="N83" s="134"/>
    </row>
    <row r="84" spans="1:14" ht="22.5" customHeight="1">
      <c r="A84" s="256" t="s">
        <v>233</v>
      </c>
      <c r="B84" s="256"/>
      <c r="C84" s="256"/>
      <c r="D84" s="256"/>
      <c r="E84" s="256"/>
      <c r="F84" s="256"/>
      <c r="G84" s="256"/>
      <c r="H84" s="149"/>
      <c r="I84" s="153"/>
      <c r="J84" s="154"/>
      <c r="K84" s="257" t="s">
        <v>238</v>
      </c>
      <c r="L84" s="257"/>
      <c r="M84" s="257"/>
      <c r="N84" s="257"/>
    </row>
    <row r="85" spans="1:14" ht="18.75" customHeight="1">
      <c r="A85" s="151"/>
      <c r="B85" s="151"/>
      <c r="C85" s="151"/>
      <c r="D85" s="151"/>
      <c r="E85" s="151"/>
      <c r="F85" s="151"/>
      <c r="G85" s="151"/>
      <c r="H85" s="149"/>
      <c r="I85" s="150" t="s">
        <v>234</v>
      </c>
      <c r="J85" s="144"/>
      <c r="K85" s="255" t="s">
        <v>235</v>
      </c>
      <c r="L85" s="255"/>
      <c r="M85" s="116"/>
      <c r="N85" s="116"/>
    </row>
    <row r="86" spans="1:14" ht="17.25" customHeight="1">
      <c r="A86" s="151"/>
      <c r="B86" s="151"/>
      <c r="C86" s="151"/>
      <c r="D86" s="151"/>
      <c r="E86" s="151"/>
      <c r="F86" s="151"/>
      <c r="G86" s="151"/>
      <c r="H86" s="149"/>
      <c r="I86" s="150"/>
      <c r="J86" s="144" t="s">
        <v>236</v>
      </c>
      <c r="K86" s="116"/>
      <c r="L86" s="116"/>
      <c r="M86" s="116"/>
      <c r="N86" s="116"/>
    </row>
    <row r="87" spans="1:14" ht="24.75" customHeight="1">
      <c r="A87" s="256" t="s">
        <v>5</v>
      </c>
      <c r="B87" s="256"/>
      <c r="C87" s="256"/>
      <c r="D87" s="256"/>
      <c r="E87" s="256"/>
      <c r="F87" s="256"/>
      <c r="G87" s="256"/>
      <c r="H87" s="149"/>
      <c r="I87" s="153"/>
      <c r="J87" s="154"/>
      <c r="K87" s="257" t="s">
        <v>239</v>
      </c>
      <c r="L87" s="257"/>
      <c r="M87" s="257"/>
      <c r="N87" s="257"/>
    </row>
    <row r="88" spans="1:14" ht="22.5" customHeight="1">
      <c r="A88" s="151"/>
      <c r="B88" s="151"/>
      <c r="C88" s="151"/>
      <c r="D88" s="151"/>
      <c r="E88" s="151"/>
      <c r="F88" s="151"/>
      <c r="G88" s="151"/>
      <c r="H88" s="149"/>
      <c r="I88" s="150" t="s">
        <v>234</v>
      </c>
      <c r="J88" s="144"/>
      <c r="K88" s="255" t="s">
        <v>235</v>
      </c>
      <c r="L88" s="255"/>
      <c r="M88" s="116"/>
      <c r="N88" s="116"/>
    </row>
    <row r="89" spans="1:14" ht="21" customHeight="1">
      <c r="A89" s="256"/>
      <c r="B89" s="256"/>
      <c r="C89" s="256"/>
      <c r="D89" s="256"/>
      <c r="E89" s="256"/>
      <c r="F89" s="256"/>
      <c r="G89" s="256"/>
      <c r="H89" s="149"/>
      <c r="I89" s="155"/>
      <c r="J89" s="154"/>
      <c r="K89" s="155"/>
      <c r="L89" s="155"/>
      <c r="M89" s="155"/>
      <c r="N89" s="155"/>
    </row>
    <row r="90" spans="1:14" ht="20.25" customHeight="1">
      <c r="A90" s="151"/>
      <c r="B90" s="151"/>
      <c r="C90" s="151"/>
      <c r="D90" s="151"/>
      <c r="E90" s="151"/>
      <c r="F90" s="151"/>
      <c r="G90" s="151"/>
      <c r="H90" s="152"/>
      <c r="I90" s="155"/>
      <c r="J90" s="152"/>
      <c r="K90" s="155"/>
      <c r="L90" s="155"/>
      <c r="M90" s="155"/>
      <c r="N90" s="155"/>
    </row>
    <row r="91" spans="1:14">
      <c r="A91" s="145"/>
      <c r="B91" s="145"/>
      <c r="C91" s="146"/>
      <c r="D91" s="147"/>
      <c r="E91" s="147"/>
      <c r="F91" s="147"/>
      <c r="G91" s="148"/>
      <c r="H91" s="149"/>
      <c r="I91" s="150"/>
      <c r="J91" s="150"/>
      <c r="K91" s="135"/>
      <c r="L91" s="135"/>
      <c r="M91" s="134"/>
      <c r="N91" s="135"/>
    </row>
    <row r="92" spans="1:14">
      <c r="A92" s="145"/>
      <c r="B92" s="145"/>
      <c r="C92" s="146"/>
      <c r="D92" s="147"/>
      <c r="E92" s="147"/>
      <c r="F92" s="147"/>
      <c r="G92" s="148"/>
      <c r="H92" s="149"/>
      <c r="I92" s="150"/>
      <c r="J92" s="150"/>
      <c r="K92" s="135"/>
      <c r="L92" s="135"/>
      <c r="M92" s="134"/>
      <c r="N92" s="135"/>
    </row>
    <row r="93" spans="1:14">
      <c r="A93" s="145"/>
      <c r="B93" s="145"/>
      <c r="C93" s="146"/>
      <c r="D93" s="147"/>
      <c r="E93" s="147"/>
      <c r="F93" s="147"/>
      <c r="G93" s="148"/>
      <c r="H93" s="149"/>
      <c r="I93" s="150"/>
      <c r="J93" s="150"/>
      <c r="K93" s="135"/>
      <c r="L93" s="135"/>
      <c r="M93" s="134"/>
      <c r="N93" s="135"/>
    </row>
    <row r="94" spans="1:14">
      <c r="A94" s="145"/>
      <c r="B94" s="145"/>
      <c r="C94" s="146"/>
      <c r="D94" s="147"/>
      <c r="E94" s="147"/>
      <c r="F94" s="147"/>
      <c r="G94" s="148"/>
      <c r="H94" s="149"/>
      <c r="I94" s="150"/>
      <c r="J94" s="150"/>
      <c r="K94" s="135"/>
      <c r="L94" s="135"/>
      <c r="M94" s="134"/>
      <c r="N94" s="135"/>
    </row>
  </sheetData>
  <sheetProtection password="E18B" sheet="1" objects="1" scenarios="1" formatCells="0" formatColumns="0" formatRows="0"/>
  <mergeCells count="22">
    <mergeCell ref="K88:L88"/>
    <mergeCell ref="A89:G89"/>
    <mergeCell ref="A5:N5"/>
    <mergeCell ref="N8:N10"/>
    <mergeCell ref="A84:G84"/>
    <mergeCell ref="K84:N84"/>
    <mergeCell ref="A87:G87"/>
    <mergeCell ref="A82:M82"/>
    <mergeCell ref="H8:H10"/>
    <mergeCell ref="K85:L85"/>
    <mergeCell ref="K87:N87"/>
    <mergeCell ref="A11:C11"/>
    <mergeCell ref="I9:J9"/>
    <mergeCell ref="A8:C10"/>
    <mergeCell ref="G8:G10"/>
    <mergeCell ref="I8:L8"/>
    <mergeCell ref="A1:N1"/>
    <mergeCell ref="A2:N2"/>
    <mergeCell ref="A3:N3"/>
    <mergeCell ref="A4:N4"/>
    <mergeCell ref="M8:M10"/>
    <mergeCell ref="K9:L9"/>
  </mergeCells>
  <phoneticPr fontId="28" type="noConversion"/>
  <pageMargins left="0.35433070866141736" right="0.31496062992125984" top="0.6692913385826772" bottom="0.39370078740157483" header="0.35433070866141736" footer="0.15748031496062992"/>
  <pageSetup paperSize="9" scale="75" orientation="portrait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AO32"/>
  <sheetViews>
    <sheetView workbookViewId="0">
      <selection activeCell="M32" sqref="M32"/>
    </sheetView>
  </sheetViews>
  <sheetFormatPr defaultRowHeight="12.75"/>
  <cols>
    <col min="1" max="1" width="3.85546875" style="26" customWidth="1"/>
    <col min="2" max="2" width="22.85546875" customWidth="1"/>
    <col min="3" max="3" width="14.28515625" style="41" customWidth="1"/>
    <col min="4" max="4" width="8.42578125" customWidth="1"/>
    <col min="5" max="5" width="8.5703125" customWidth="1"/>
    <col min="6" max="6" width="8.28515625" customWidth="1"/>
    <col min="7" max="7" width="9" customWidth="1"/>
    <col min="8" max="8" width="6.7109375" customWidth="1"/>
    <col min="10" max="10" width="8.42578125" customWidth="1"/>
    <col min="11" max="11" width="5.28515625" customWidth="1"/>
    <col min="12" max="12" width="8.85546875" customWidth="1"/>
    <col min="13" max="13" width="6.85546875" customWidth="1"/>
    <col min="15" max="15" width="4.5703125" customWidth="1"/>
    <col min="18" max="18" width="9.140625" style="61"/>
    <col min="19" max="19" width="14.85546875" style="61" customWidth="1"/>
    <col min="20" max="23" width="9.140625" style="61"/>
  </cols>
  <sheetData>
    <row r="2" spans="1:23">
      <c r="H2" s="70"/>
    </row>
    <row r="3" spans="1:23">
      <c r="H3" s="70"/>
    </row>
    <row r="4" spans="1:23">
      <c r="H4" s="70"/>
    </row>
    <row r="5" spans="1:23">
      <c r="H5" s="70"/>
    </row>
    <row r="6" spans="1:23">
      <c r="H6" s="70"/>
      <c r="P6" s="279" t="s">
        <v>319</v>
      </c>
      <c r="Q6" s="280"/>
    </row>
    <row r="7" spans="1:23" ht="35.25" customHeight="1">
      <c r="A7" s="285" t="s">
        <v>48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</row>
    <row r="8" spans="1:23" ht="16.5" customHeight="1">
      <c r="B8" s="324" t="s">
        <v>324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</row>
    <row r="9" spans="1:23" ht="20.25" customHeight="1"/>
    <row r="10" spans="1:23" ht="12.75" customHeight="1">
      <c r="E10" s="186">
        <f>'Расчет доп. ФОТ '!C7</f>
        <v>11</v>
      </c>
      <c r="I10" s="234">
        <f>' план.каль.дезинс.'!I10</f>
        <v>172.03</v>
      </c>
    </row>
    <row r="11" spans="1:23" s="48" customFormat="1" ht="109.5" customHeight="1">
      <c r="A11" s="104" t="s">
        <v>0</v>
      </c>
      <c r="B11" s="15" t="s">
        <v>39</v>
      </c>
      <c r="C11" s="105" t="s">
        <v>19</v>
      </c>
      <c r="D11" s="104" t="s">
        <v>47</v>
      </c>
      <c r="E11" s="104" t="s">
        <v>45</v>
      </c>
      <c r="F11" s="104" t="s">
        <v>46</v>
      </c>
      <c r="G11" s="106" t="s">
        <v>49</v>
      </c>
      <c r="H11" s="107" t="s">
        <v>50</v>
      </c>
      <c r="I11" s="105" t="s">
        <v>40</v>
      </c>
      <c r="J11" s="104" t="s">
        <v>2</v>
      </c>
      <c r="K11" s="105" t="s">
        <v>3</v>
      </c>
      <c r="L11" s="104" t="s">
        <v>4</v>
      </c>
      <c r="M11" s="59" t="s">
        <v>160</v>
      </c>
      <c r="N11" s="104" t="s">
        <v>41</v>
      </c>
      <c r="O11" s="104" t="s">
        <v>42</v>
      </c>
      <c r="P11" s="104" t="s">
        <v>43</v>
      </c>
      <c r="Q11" s="104" t="s">
        <v>44</v>
      </c>
      <c r="R11" s="62"/>
      <c r="S11" s="312" t="s">
        <v>51</v>
      </c>
      <c r="T11" s="313"/>
      <c r="U11" s="313"/>
      <c r="V11" s="313"/>
      <c r="W11" s="62"/>
    </row>
    <row r="12" spans="1:23" s="48" customFormat="1" ht="22.5" customHeight="1">
      <c r="A12" s="71" t="s">
        <v>52</v>
      </c>
      <c r="B12" s="315" t="s">
        <v>61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62"/>
      <c r="S12" s="67"/>
      <c r="T12" s="68"/>
      <c r="U12" s="68"/>
      <c r="V12" s="68"/>
      <c r="W12" s="62"/>
    </row>
    <row r="13" spans="1:23" s="61" customFormat="1" ht="31.5" customHeight="1">
      <c r="A13" s="181" t="s">
        <v>54</v>
      </c>
      <c r="B13" s="72" t="s">
        <v>55</v>
      </c>
      <c r="C13" s="69" t="s">
        <v>70</v>
      </c>
      <c r="D13" s="217">
        <f>SUM(зпл.дерат.!F11)</f>
        <v>0.68</v>
      </c>
      <c r="E13" s="217">
        <f>$D13*$E$10/100</f>
        <v>7.0000000000000007E-2</v>
      </c>
      <c r="F13" s="217">
        <f>+G13+H13</f>
        <v>0.27</v>
      </c>
      <c r="G13" s="217">
        <f>($D13+$E13)*34%</f>
        <v>0.26</v>
      </c>
      <c r="H13" s="217">
        <f>($D13+$E13)*1.58%</f>
        <v>0.01</v>
      </c>
      <c r="I13" s="217">
        <f>$D13*$I$10/100</f>
        <v>1.17</v>
      </c>
      <c r="J13" s="217">
        <f>+D13+E13+F13+I13</f>
        <v>2.19</v>
      </c>
      <c r="K13" s="44">
        <v>30</v>
      </c>
      <c r="L13" s="217">
        <f>+J13*K13/100+J13</f>
        <v>2.85</v>
      </c>
      <c r="M13" s="217">
        <f>$L13*3/97</f>
        <v>0.09</v>
      </c>
      <c r="N13" s="217">
        <f>+L13+M13</f>
        <v>2.94</v>
      </c>
      <c r="O13" s="44">
        <v>20</v>
      </c>
      <c r="P13" s="217">
        <f>+N13*O13/100</f>
        <v>0.59</v>
      </c>
      <c r="Q13" s="217">
        <f>+N13+P13</f>
        <v>3.53</v>
      </c>
    </row>
    <row r="14" spans="1:23" s="61" customFormat="1" ht="16.5" hidden="1" customHeight="1">
      <c r="A14" s="183"/>
      <c r="B14" s="43"/>
      <c r="C14" s="45"/>
      <c r="D14" s="217"/>
      <c r="E14" s="217">
        <f t="shared" ref="E14:E17" si="0">$D14*$E$10/100</f>
        <v>0</v>
      </c>
      <c r="F14" s="217"/>
      <c r="G14" s="217">
        <f t="shared" ref="G14:G17" si="1">($D14+$E14)*34%</f>
        <v>0</v>
      </c>
      <c r="H14" s="217">
        <f t="shared" ref="H14:H17" si="2">($D14+$E14)*1.58%</f>
        <v>0</v>
      </c>
      <c r="I14" s="217">
        <f t="shared" ref="I14:I17" si="3">$D14*$I$10/100</f>
        <v>0</v>
      </c>
      <c r="J14" s="217">
        <f t="shared" ref="J14:J21" si="4">+D14+E14+F14+I14</f>
        <v>0</v>
      </c>
      <c r="K14" s="44">
        <v>16</v>
      </c>
      <c r="L14" s="217">
        <f t="shared" ref="L14:L21" si="5">+J14*K14/100+J14</f>
        <v>0</v>
      </c>
      <c r="M14" s="217">
        <f t="shared" ref="M14:M17" si="6">$L14*3/97</f>
        <v>0</v>
      </c>
      <c r="N14" s="217">
        <f t="shared" ref="N14:N21" si="7">+L14+M14</f>
        <v>0</v>
      </c>
      <c r="O14" s="44">
        <v>19</v>
      </c>
      <c r="P14" s="217">
        <f t="shared" ref="P14:P21" si="8">+N14*O14/100</f>
        <v>0</v>
      </c>
      <c r="Q14" s="217">
        <f t="shared" ref="Q14:Q21" si="9">+N14+P14</f>
        <v>0</v>
      </c>
    </row>
    <row r="15" spans="1:23" s="61" customFormat="1" ht="36.75" customHeight="1">
      <c r="A15" s="181" t="s">
        <v>57</v>
      </c>
      <c r="B15" s="72" t="s">
        <v>58</v>
      </c>
      <c r="C15" s="69" t="s">
        <v>71</v>
      </c>
      <c r="D15" s="217">
        <f>SUM(зпл.дерат.!F12)</f>
        <v>0.4</v>
      </c>
      <c r="E15" s="217">
        <f t="shared" si="0"/>
        <v>0.04</v>
      </c>
      <c r="F15" s="217">
        <f>+G15+H15</f>
        <v>0.16</v>
      </c>
      <c r="G15" s="217">
        <f t="shared" si="1"/>
        <v>0.15</v>
      </c>
      <c r="H15" s="217">
        <f t="shared" si="2"/>
        <v>0.01</v>
      </c>
      <c r="I15" s="217">
        <f t="shared" si="3"/>
        <v>0.69</v>
      </c>
      <c r="J15" s="217">
        <f t="shared" si="4"/>
        <v>1.29</v>
      </c>
      <c r="K15" s="44">
        <v>30</v>
      </c>
      <c r="L15" s="217">
        <f t="shared" si="5"/>
        <v>1.68</v>
      </c>
      <c r="M15" s="217">
        <f t="shared" si="6"/>
        <v>0.05</v>
      </c>
      <c r="N15" s="217">
        <f t="shared" si="7"/>
        <v>1.73</v>
      </c>
      <c r="O15" s="44">
        <v>20</v>
      </c>
      <c r="P15" s="217">
        <f t="shared" si="8"/>
        <v>0.35</v>
      </c>
      <c r="Q15" s="217">
        <f t="shared" si="9"/>
        <v>2.08</v>
      </c>
    </row>
    <row r="16" spans="1:23" s="61" customFormat="1" ht="19.5" hidden="1" customHeight="1">
      <c r="A16" s="184"/>
      <c r="B16" s="52"/>
      <c r="C16" s="53" t="s">
        <v>36</v>
      </c>
      <c r="D16" s="227">
        <f>+зпл.дерат.!G13</f>
        <v>0</v>
      </c>
      <c r="E16" s="217">
        <f t="shared" si="0"/>
        <v>0</v>
      </c>
      <c r="F16" s="219"/>
      <c r="G16" s="217">
        <f t="shared" si="1"/>
        <v>0</v>
      </c>
      <c r="H16" s="217">
        <f t="shared" si="2"/>
        <v>0</v>
      </c>
      <c r="I16" s="217">
        <f t="shared" si="3"/>
        <v>0</v>
      </c>
      <c r="J16" s="227">
        <f t="shared" si="4"/>
        <v>0</v>
      </c>
      <c r="K16" s="54">
        <v>18</v>
      </c>
      <c r="L16" s="227">
        <f t="shared" si="5"/>
        <v>0</v>
      </c>
      <c r="M16" s="217">
        <f t="shared" si="6"/>
        <v>0</v>
      </c>
      <c r="N16" s="227">
        <f t="shared" si="7"/>
        <v>0</v>
      </c>
      <c r="O16" s="54">
        <v>21</v>
      </c>
      <c r="P16" s="227">
        <f t="shared" si="8"/>
        <v>0</v>
      </c>
      <c r="Q16" s="227">
        <f t="shared" si="9"/>
        <v>0</v>
      </c>
    </row>
    <row r="17" spans="1:41" s="61" customFormat="1" ht="38.25">
      <c r="A17" s="181" t="s">
        <v>59</v>
      </c>
      <c r="B17" s="72" t="s">
        <v>64</v>
      </c>
      <c r="C17" s="69" t="s">
        <v>71</v>
      </c>
      <c r="D17" s="217">
        <f>SUM(зпл.дерат.!F13)</f>
        <v>0.24</v>
      </c>
      <c r="E17" s="217">
        <f t="shared" si="0"/>
        <v>0.03</v>
      </c>
      <c r="F17" s="217">
        <f>+G17+H17</f>
        <v>0.09</v>
      </c>
      <c r="G17" s="217">
        <f t="shared" si="1"/>
        <v>0.09</v>
      </c>
      <c r="H17" s="217">
        <f t="shared" si="2"/>
        <v>0</v>
      </c>
      <c r="I17" s="217">
        <f t="shared" si="3"/>
        <v>0.41</v>
      </c>
      <c r="J17" s="217">
        <f t="shared" si="4"/>
        <v>0.77</v>
      </c>
      <c r="K17" s="44">
        <v>30</v>
      </c>
      <c r="L17" s="217">
        <f t="shared" si="5"/>
        <v>1</v>
      </c>
      <c r="M17" s="217">
        <f t="shared" si="6"/>
        <v>0.03</v>
      </c>
      <c r="N17" s="217">
        <f t="shared" si="7"/>
        <v>1.03</v>
      </c>
      <c r="O17" s="44">
        <v>20</v>
      </c>
      <c r="P17" s="217">
        <f t="shared" si="8"/>
        <v>0.21</v>
      </c>
      <c r="Q17" s="217">
        <f t="shared" si="9"/>
        <v>1.24</v>
      </c>
    </row>
    <row r="18" spans="1:41" hidden="1">
      <c r="A18" s="51"/>
      <c r="D18" s="57">
        <f>+зпл.дерат.!G15</f>
        <v>0</v>
      </c>
      <c r="G18" s="57">
        <f t="shared" ref="G18" si="10">+ROUND((D18+E18)*35%,1)</f>
        <v>0</v>
      </c>
      <c r="H18" s="57">
        <f>+ROUND((D18+E18)*0.3%,1)</f>
        <v>0</v>
      </c>
      <c r="I18" s="57">
        <f t="shared" ref="I18" si="11">+ROUND(D18*$I$10/100,1)</f>
        <v>0</v>
      </c>
      <c r="J18" s="57">
        <f t="shared" si="4"/>
        <v>0</v>
      </c>
      <c r="K18" s="58">
        <v>20</v>
      </c>
      <c r="L18" s="55">
        <f t="shared" si="5"/>
        <v>0</v>
      </c>
      <c r="M18" s="55">
        <f>+L18*0.0204081632653061</f>
        <v>0</v>
      </c>
      <c r="N18" s="55">
        <f t="shared" si="7"/>
        <v>0</v>
      </c>
      <c r="O18" s="56">
        <v>23</v>
      </c>
      <c r="P18" s="55">
        <f t="shared" si="8"/>
        <v>0</v>
      </c>
      <c r="Q18" s="55">
        <f t="shared" si="9"/>
        <v>0</v>
      </c>
    </row>
    <row r="19" spans="1:41">
      <c r="A19" s="109" t="s">
        <v>62</v>
      </c>
      <c r="B19" s="322" t="s">
        <v>63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</row>
    <row r="20" spans="1:41" ht="31.5">
      <c r="A20" s="181" t="s">
        <v>65</v>
      </c>
      <c r="B20" s="72" t="s">
        <v>55</v>
      </c>
      <c r="C20" s="69" t="s">
        <v>70</v>
      </c>
      <c r="D20" s="217">
        <f>SUM(зпл.дерат.!F15)</f>
        <v>5.88</v>
      </c>
      <c r="E20" s="217">
        <f>$D20*$E$10/100</f>
        <v>0.65</v>
      </c>
      <c r="F20" s="217">
        <f>+G20+H20</f>
        <v>2.3199999999999998</v>
      </c>
      <c r="G20" s="217">
        <f>($D20+$E20)*34%</f>
        <v>2.2200000000000002</v>
      </c>
      <c r="H20" s="217">
        <f>($D20+$E20)*1.58%</f>
        <v>0.1</v>
      </c>
      <c r="I20" s="217">
        <f>$D20*$I$10/100</f>
        <v>10.119999999999999</v>
      </c>
      <c r="J20" s="217">
        <f t="shared" si="4"/>
        <v>18.97</v>
      </c>
      <c r="K20" s="44">
        <v>30</v>
      </c>
      <c r="L20" s="217">
        <f t="shared" si="5"/>
        <v>24.66</v>
      </c>
      <c r="M20" s="217">
        <f t="shared" ref="M20:M28" si="12">$L20*3/97</f>
        <v>0.76</v>
      </c>
      <c r="N20" s="217">
        <f t="shared" si="7"/>
        <v>25.42</v>
      </c>
      <c r="O20" s="44">
        <v>20</v>
      </c>
      <c r="P20" s="228">
        <f t="shared" si="8"/>
        <v>5.08</v>
      </c>
      <c r="Q20" s="228">
        <f t="shared" si="9"/>
        <v>30.5</v>
      </c>
    </row>
    <row r="21" spans="1:41" hidden="1">
      <c r="A21" s="185"/>
      <c r="D21" s="224">
        <f>+зпл.дерат.!G17</f>
        <v>0</v>
      </c>
      <c r="E21" s="217">
        <f t="shared" ref="E21:E28" si="13">$D21*$E$10/100</f>
        <v>0</v>
      </c>
      <c r="F21" s="219"/>
      <c r="G21" s="217">
        <f t="shared" ref="G21:G28" si="14">($D21+$E21)*34%</f>
        <v>0</v>
      </c>
      <c r="H21" s="217">
        <f t="shared" ref="H21:H28" si="15">($D21+$E21)*1.58%</f>
        <v>0</v>
      </c>
      <c r="I21" s="217">
        <f t="shared" ref="I21:I28" si="16">$D21*$I$10/100</f>
        <v>0</v>
      </c>
      <c r="J21" s="224">
        <f t="shared" si="4"/>
        <v>0</v>
      </c>
      <c r="K21" s="58">
        <v>17</v>
      </c>
      <c r="L21" s="227">
        <f t="shared" si="5"/>
        <v>0</v>
      </c>
      <c r="M21" s="217">
        <f t="shared" si="12"/>
        <v>0</v>
      </c>
      <c r="N21" s="227">
        <f t="shared" si="7"/>
        <v>0</v>
      </c>
      <c r="O21" s="54">
        <v>25</v>
      </c>
      <c r="P21" s="230">
        <f t="shared" si="8"/>
        <v>0</v>
      </c>
      <c r="Q21" s="230">
        <f t="shared" si="9"/>
        <v>0</v>
      </c>
    </row>
    <row r="22" spans="1:41" ht="42" customHeight="1">
      <c r="A22" s="181" t="s">
        <v>66</v>
      </c>
      <c r="B22" s="72" t="s">
        <v>58</v>
      </c>
      <c r="C22" s="69" t="s">
        <v>71</v>
      </c>
      <c r="D22" s="217">
        <f>SUM(зпл.дерат.!F16)</f>
        <v>1.96</v>
      </c>
      <c r="E22" s="217">
        <f t="shared" si="13"/>
        <v>0.22</v>
      </c>
      <c r="F22" s="217">
        <f>+G22+H22</f>
        <v>0.77</v>
      </c>
      <c r="G22" s="217">
        <f t="shared" si="14"/>
        <v>0.74</v>
      </c>
      <c r="H22" s="217">
        <f t="shared" si="15"/>
        <v>0.03</v>
      </c>
      <c r="I22" s="217">
        <f t="shared" si="16"/>
        <v>3.37</v>
      </c>
      <c r="J22" s="217">
        <f>+D22+E22+F22+I22</f>
        <v>6.32</v>
      </c>
      <c r="K22" s="44">
        <v>30</v>
      </c>
      <c r="L22" s="217">
        <f>+J22*K22/100+J22</f>
        <v>8.2200000000000006</v>
      </c>
      <c r="M22" s="217">
        <f t="shared" si="12"/>
        <v>0.25</v>
      </c>
      <c r="N22" s="217">
        <f>+L22+M22</f>
        <v>8.4700000000000006</v>
      </c>
      <c r="O22" s="44">
        <v>20</v>
      </c>
      <c r="P22" s="228">
        <f>+N22*O22/100</f>
        <v>1.69</v>
      </c>
      <c r="Q22" s="228">
        <f>+N22+P22</f>
        <v>10.16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ht="38.25">
      <c r="A23" s="181" t="s">
        <v>67</v>
      </c>
      <c r="B23" s="72" t="s">
        <v>64</v>
      </c>
      <c r="C23" s="69" t="s">
        <v>71</v>
      </c>
      <c r="D23" s="217">
        <f>SUM(зпл.дерат.!F17)</f>
        <v>1.08</v>
      </c>
      <c r="E23" s="217">
        <f t="shared" si="13"/>
        <v>0.12</v>
      </c>
      <c r="F23" s="217">
        <f>+G23+H23</f>
        <v>0.43</v>
      </c>
      <c r="G23" s="217">
        <f t="shared" si="14"/>
        <v>0.41</v>
      </c>
      <c r="H23" s="217">
        <f t="shared" si="15"/>
        <v>0.02</v>
      </c>
      <c r="I23" s="217">
        <f t="shared" si="16"/>
        <v>1.86</v>
      </c>
      <c r="J23" s="217">
        <f>+D23+E23+F23+I23</f>
        <v>3.49</v>
      </c>
      <c r="K23" s="44">
        <v>30</v>
      </c>
      <c r="L23" s="217">
        <f>+J23*K23/100+J23</f>
        <v>4.54</v>
      </c>
      <c r="M23" s="217">
        <f t="shared" si="12"/>
        <v>0.14000000000000001</v>
      </c>
      <c r="N23" s="217">
        <f>+L23+M23</f>
        <v>4.68</v>
      </c>
      <c r="O23" s="44">
        <v>20</v>
      </c>
      <c r="P23" s="228">
        <f>+N23*O23/100</f>
        <v>0.94</v>
      </c>
      <c r="Q23" s="228">
        <f>+N23+P23</f>
        <v>5.62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1:41" hidden="1">
      <c r="A24" s="51"/>
      <c r="B24" s="61"/>
      <c r="C24" s="63"/>
      <c r="D24" s="229"/>
      <c r="E24" s="217">
        <f t="shared" si="13"/>
        <v>0</v>
      </c>
      <c r="F24" s="229"/>
      <c r="G24" s="217">
        <f t="shared" si="14"/>
        <v>0</v>
      </c>
      <c r="H24" s="217">
        <f t="shared" si="15"/>
        <v>0</v>
      </c>
      <c r="I24" s="217">
        <f t="shared" si="16"/>
        <v>0</v>
      </c>
      <c r="J24" s="229"/>
      <c r="K24" s="65"/>
      <c r="L24" s="229"/>
      <c r="M24" s="217">
        <f t="shared" si="12"/>
        <v>0</v>
      </c>
      <c r="N24" s="229"/>
      <c r="O24" s="44">
        <v>20</v>
      </c>
      <c r="P24" s="231"/>
      <c r="Q24" s="23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1" hidden="1">
      <c r="B25" s="61"/>
      <c r="C25" s="63"/>
      <c r="D25" s="229"/>
      <c r="E25" s="217">
        <f t="shared" si="13"/>
        <v>0</v>
      </c>
      <c r="F25" s="229"/>
      <c r="G25" s="217">
        <f t="shared" si="14"/>
        <v>0</v>
      </c>
      <c r="H25" s="217">
        <f t="shared" si="15"/>
        <v>0</v>
      </c>
      <c r="I25" s="217">
        <f t="shared" si="16"/>
        <v>0</v>
      </c>
      <c r="J25" s="229"/>
      <c r="K25" s="61"/>
      <c r="L25" s="229"/>
      <c r="M25" s="217">
        <f t="shared" si="12"/>
        <v>0</v>
      </c>
      <c r="N25" s="229"/>
      <c r="O25" s="44">
        <v>20</v>
      </c>
      <c r="P25" s="231"/>
      <c r="Q25" s="23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</row>
    <row r="26" spans="1:41" ht="38.25">
      <c r="A26" s="75" t="s">
        <v>68</v>
      </c>
      <c r="B26" s="73" t="s">
        <v>69</v>
      </c>
      <c r="C26" s="74" t="s">
        <v>72</v>
      </c>
      <c r="D26" s="217">
        <f>SUM(зпл.дерат.!F18)</f>
        <v>2.2000000000000002</v>
      </c>
      <c r="E26" s="217">
        <f t="shared" si="13"/>
        <v>0.24</v>
      </c>
      <c r="F26" s="217">
        <f>+G26+H26</f>
        <v>0.87</v>
      </c>
      <c r="G26" s="217">
        <f t="shared" si="14"/>
        <v>0.83</v>
      </c>
      <c r="H26" s="217">
        <f t="shared" si="15"/>
        <v>0.04</v>
      </c>
      <c r="I26" s="217">
        <f t="shared" si="16"/>
        <v>3.78</v>
      </c>
      <c r="J26" s="217">
        <f>+D26+E26+F26+I26</f>
        <v>7.09</v>
      </c>
      <c r="K26" s="44">
        <v>30</v>
      </c>
      <c r="L26" s="217">
        <f>+J26*K26/100+J26</f>
        <v>9.2200000000000006</v>
      </c>
      <c r="M26" s="217">
        <f t="shared" si="12"/>
        <v>0.28999999999999998</v>
      </c>
      <c r="N26" s="217">
        <f>+L26+M26</f>
        <v>9.51</v>
      </c>
      <c r="O26" s="44">
        <v>20</v>
      </c>
      <c r="P26" s="228">
        <f>+N26*O26/100</f>
        <v>1.9</v>
      </c>
      <c r="Q26" s="228">
        <f>+N26+P26</f>
        <v>11.41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</row>
    <row r="27" spans="1:41" ht="42.75" customHeight="1">
      <c r="A27" s="77" t="s">
        <v>73</v>
      </c>
      <c r="B27" s="73" t="s">
        <v>74</v>
      </c>
      <c r="C27" s="69" t="s">
        <v>71</v>
      </c>
      <c r="D27" s="217">
        <f>SUM(зпл.дерат.!F19)</f>
        <v>2.3199999999999998</v>
      </c>
      <c r="E27" s="217">
        <f t="shared" si="13"/>
        <v>0.26</v>
      </c>
      <c r="F27" s="217">
        <f>+G27+H27</f>
        <v>0.92</v>
      </c>
      <c r="G27" s="217">
        <f t="shared" si="14"/>
        <v>0.88</v>
      </c>
      <c r="H27" s="217">
        <f t="shared" si="15"/>
        <v>0.04</v>
      </c>
      <c r="I27" s="217">
        <f t="shared" si="16"/>
        <v>3.99</v>
      </c>
      <c r="J27" s="217">
        <f>+D27+E27+F27+I27</f>
        <v>7.49</v>
      </c>
      <c r="K27" s="44">
        <v>30</v>
      </c>
      <c r="L27" s="217">
        <f>+J27*K27/100+J27</f>
        <v>9.74</v>
      </c>
      <c r="M27" s="217">
        <f t="shared" si="12"/>
        <v>0.3</v>
      </c>
      <c r="N27" s="217">
        <f>+L27+M27</f>
        <v>10.039999999999999</v>
      </c>
      <c r="O27" s="44">
        <v>20</v>
      </c>
      <c r="P27" s="228">
        <f>+N27*O27/100</f>
        <v>2.0099999999999998</v>
      </c>
      <c r="Q27" s="228">
        <f>+N27+P27</f>
        <v>12.05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</row>
    <row r="28" spans="1:41" ht="40.5" customHeight="1">
      <c r="A28" s="77" t="s">
        <v>78</v>
      </c>
      <c r="B28" s="80" t="s">
        <v>75</v>
      </c>
      <c r="C28" s="74" t="s">
        <v>76</v>
      </c>
      <c r="D28" s="217">
        <f>SUM(зпл.дерат.!F20)</f>
        <v>0.55000000000000004</v>
      </c>
      <c r="E28" s="217">
        <f t="shared" si="13"/>
        <v>0.06</v>
      </c>
      <c r="F28" s="217">
        <f>+G28+H28</f>
        <v>0.22</v>
      </c>
      <c r="G28" s="217">
        <f t="shared" si="14"/>
        <v>0.21</v>
      </c>
      <c r="H28" s="217">
        <f t="shared" si="15"/>
        <v>0.01</v>
      </c>
      <c r="I28" s="217">
        <f t="shared" si="16"/>
        <v>0.95</v>
      </c>
      <c r="J28" s="217">
        <f>+D28+E28+F28+I28</f>
        <v>1.78</v>
      </c>
      <c r="K28" s="44">
        <v>30</v>
      </c>
      <c r="L28" s="217">
        <f>+J28*K28/100+J28</f>
        <v>2.31</v>
      </c>
      <c r="M28" s="217">
        <f t="shared" si="12"/>
        <v>7.0000000000000007E-2</v>
      </c>
      <c r="N28" s="217">
        <f>+L28+M28</f>
        <v>2.38</v>
      </c>
      <c r="O28" s="44">
        <v>20</v>
      </c>
      <c r="P28" s="228">
        <f>+N28*O28/100</f>
        <v>0.48</v>
      </c>
      <c r="Q28" s="228">
        <f>+N28+P28</f>
        <v>2.86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</row>
    <row r="29" spans="1:41">
      <c r="B29" s="61"/>
      <c r="C29" s="6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41" ht="15.75">
      <c r="B30" s="61"/>
      <c r="C30" s="85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>
      <c r="B31" s="61"/>
      <c r="C31" s="6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</row>
    <row r="32" spans="1:41" ht="15.75">
      <c r="C32" s="108"/>
    </row>
  </sheetData>
  <mergeCells count="6">
    <mergeCell ref="P6:Q6"/>
    <mergeCell ref="B19:Q19"/>
    <mergeCell ref="B8:Q8"/>
    <mergeCell ref="A7:P7"/>
    <mergeCell ref="S11:V11"/>
    <mergeCell ref="B12:Q12"/>
  </mergeCells>
  <phoneticPr fontId="0" type="noConversion"/>
  <pageMargins left="0.19685039370078741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25" sqref="C25"/>
    </sheetView>
  </sheetViews>
  <sheetFormatPr defaultRowHeight="12.75"/>
  <cols>
    <col min="1" max="1" width="4.28515625" customWidth="1"/>
    <col min="2" max="2" width="17.140625" customWidth="1"/>
    <col min="3" max="3" width="18.140625" customWidth="1"/>
    <col min="4" max="4" width="7.7109375" customWidth="1"/>
    <col min="5" max="5" width="10.28515625" customWidth="1"/>
    <col min="6" max="6" width="10" customWidth="1"/>
    <col min="7" max="7" width="9.28515625" customWidth="1"/>
    <col min="8" max="8" width="10.7109375" customWidth="1"/>
    <col min="9" max="9" width="7.5703125" customWidth="1"/>
    <col min="10" max="11" width="8.5703125" customWidth="1"/>
  </cols>
  <sheetData>
    <row r="1" spans="1:8">
      <c r="G1" s="166" t="s">
        <v>252</v>
      </c>
    </row>
    <row r="2" spans="1:8">
      <c r="B2" s="178" t="s">
        <v>297</v>
      </c>
    </row>
    <row r="4" spans="1:8" ht="12.75" customHeight="1">
      <c r="B4" s="174"/>
    </row>
    <row r="5" spans="1:8" ht="30.75" customHeight="1">
      <c r="A5" s="176"/>
      <c r="B5" s="175" t="s">
        <v>241</v>
      </c>
      <c r="C5" s="177" t="s">
        <v>278</v>
      </c>
      <c r="D5" s="175" t="s">
        <v>276</v>
      </c>
      <c r="E5" s="175" t="s">
        <v>242</v>
      </c>
      <c r="F5" s="175" t="s">
        <v>274</v>
      </c>
      <c r="G5" s="175" t="s">
        <v>275</v>
      </c>
      <c r="H5" s="175" t="s">
        <v>277</v>
      </c>
    </row>
    <row r="6" spans="1:8" ht="15.95" customHeight="1">
      <c r="A6" s="16">
        <v>1</v>
      </c>
      <c r="B6" s="179" t="s">
        <v>244</v>
      </c>
      <c r="C6" s="168" t="s">
        <v>243</v>
      </c>
      <c r="D6" s="218">
        <v>1</v>
      </c>
      <c r="E6" s="217">
        <f>806.26+6.29+38+312.55</f>
        <v>1163.0999999999999</v>
      </c>
      <c r="F6" s="217">
        <v>331.27</v>
      </c>
      <c r="G6" s="217">
        <v>0</v>
      </c>
      <c r="H6" s="217">
        <v>559.41</v>
      </c>
    </row>
    <row r="7" spans="1:8" ht="15.95" customHeight="1">
      <c r="A7" s="16">
        <v>2</v>
      </c>
      <c r="B7" s="179" t="s">
        <v>298</v>
      </c>
      <c r="C7" s="189" t="s">
        <v>243</v>
      </c>
      <c r="D7" s="218">
        <v>1</v>
      </c>
      <c r="E7" s="217">
        <f>846.24+36.44+384.67</f>
        <v>1267.3499999999999</v>
      </c>
      <c r="F7" s="217">
        <v>226.7</v>
      </c>
      <c r="G7" s="217">
        <v>0</v>
      </c>
      <c r="H7" s="217">
        <v>615.46</v>
      </c>
    </row>
    <row r="8" spans="1:8" ht="15.95" customHeight="1">
      <c r="A8" s="16">
        <v>3</v>
      </c>
      <c r="B8" s="179" t="s">
        <v>299</v>
      </c>
      <c r="C8" s="189" t="s">
        <v>300</v>
      </c>
      <c r="D8" s="16">
        <v>1</v>
      </c>
      <c r="E8" s="217">
        <f>603.95+24.6+179.23+108.96+239.2</f>
        <v>1155.94</v>
      </c>
      <c r="F8" s="217">
        <v>231.77</v>
      </c>
      <c r="G8" s="217">
        <v>0</v>
      </c>
      <c r="H8" s="217">
        <v>382.72</v>
      </c>
    </row>
    <row r="9" spans="1:8" ht="15.95" customHeight="1">
      <c r="A9" s="16">
        <v>4</v>
      </c>
      <c r="B9" s="167" t="s">
        <v>245</v>
      </c>
      <c r="C9" s="168" t="s">
        <v>246</v>
      </c>
      <c r="D9" s="16">
        <v>1</v>
      </c>
      <c r="E9" s="217">
        <f>1884.39+222.28+47.81</f>
        <v>2154.48</v>
      </c>
      <c r="F9" s="217">
        <v>463.6</v>
      </c>
      <c r="G9" s="217">
        <v>184.2</v>
      </c>
      <c r="H9" s="217">
        <v>0</v>
      </c>
    </row>
    <row r="10" spans="1:8" ht="15.95" customHeight="1">
      <c r="A10" s="16">
        <v>5</v>
      </c>
      <c r="B10" s="167" t="s">
        <v>247</v>
      </c>
      <c r="C10" s="168" t="s">
        <v>248</v>
      </c>
      <c r="D10" s="16">
        <v>0.5</v>
      </c>
      <c r="E10" s="217">
        <f>18.86+356.52</f>
        <v>375.38</v>
      </c>
      <c r="F10" s="217">
        <v>299.2</v>
      </c>
      <c r="G10" s="217">
        <v>261.25</v>
      </c>
      <c r="H10" s="217">
        <v>0</v>
      </c>
    </row>
    <row r="11" spans="1:8" ht="15" customHeight="1">
      <c r="A11" s="16">
        <v>6</v>
      </c>
      <c r="B11" s="179" t="s">
        <v>301</v>
      </c>
      <c r="C11" s="189" t="s">
        <v>302</v>
      </c>
      <c r="D11" s="16">
        <v>0.5</v>
      </c>
      <c r="E11" s="217">
        <f>2461.56</f>
        <v>2461.56</v>
      </c>
      <c r="F11" s="217">
        <v>9.7899999999999991</v>
      </c>
      <c r="G11" s="217">
        <v>0</v>
      </c>
      <c r="H11" s="217">
        <v>0</v>
      </c>
    </row>
    <row r="12" spans="1:8" ht="15.95" customHeight="1">
      <c r="A12" s="16">
        <v>7</v>
      </c>
      <c r="B12" s="179" t="s">
        <v>303</v>
      </c>
      <c r="C12" s="189" t="s">
        <v>243</v>
      </c>
      <c r="D12" s="16">
        <v>0.25</v>
      </c>
      <c r="E12" s="217">
        <f>41.67</f>
        <v>41.67</v>
      </c>
      <c r="F12" s="217">
        <v>64.5</v>
      </c>
      <c r="G12" s="217">
        <v>214.05</v>
      </c>
      <c r="H12" s="217">
        <v>169.34</v>
      </c>
    </row>
    <row r="13" spans="1:8" ht="15.95" customHeight="1">
      <c r="A13" s="16">
        <v>8</v>
      </c>
      <c r="B13" s="179" t="s">
        <v>304</v>
      </c>
      <c r="C13" s="189" t="s">
        <v>243</v>
      </c>
      <c r="D13" s="16">
        <v>0.25</v>
      </c>
      <c r="E13" s="217">
        <f>46.14+0.15</f>
        <v>46.29</v>
      </c>
      <c r="F13" s="217">
        <v>32.79</v>
      </c>
      <c r="G13" s="217">
        <v>288.73</v>
      </c>
      <c r="H13" s="217">
        <v>6.97</v>
      </c>
    </row>
    <row r="14" spans="1:8" ht="15.95" customHeight="1">
      <c r="A14" s="16">
        <v>9</v>
      </c>
      <c r="B14" s="167" t="s">
        <v>249</v>
      </c>
      <c r="C14" s="168" t="s">
        <v>250</v>
      </c>
      <c r="D14" s="16">
        <v>1</v>
      </c>
      <c r="E14" s="217">
        <f>1897.07+93.78+736.25+662.62+368.11</f>
        <v>3757.83</v>
      </c>
      <c r="F14" s="217">
        <v>862.6</v>
      </c>
      <c r="G14" s="217">
        <v>483.54</v>
      </c>
      <c r="H14" s="217">
        <v>0</v>
      </c>
    </row>
    <row r="15" spans="1:8" s="169" customFormat="1" ht="15.95" customHeight="1">
      <c r="B15" s="169" t="s">
        <v>251</v>
      </c>
      <c r="D15" s="170">
        <f>SUM(D6:D14)</f>
        <v>6.5</v>
      </c>
      <c r="E15" s="169">
        <f>SUM(E6:E14)</f>
        <v>12423.6</v>
      </c>
      <c r="F15" s="169">
        <f>SUM(F6:F14)</f>
        <v>2522.2199999999998</v>
      </c>
      <c r="G15" s="169">
        <f>SUM(G6:G14)</f>
        <v>1431.77</v>
      </c>
      <c r="H15" s="220">
        <f>SUM(H6:H14)</f>
        <v>1733.9</v>
      </c>
    </row>
    <row r="16" spans="1:8" ht="6.75" customHeight="1"/>
    <row r="17" spans="1:11" ht="15.95" customHeight="1">
      <c r="B17" s="178" t="s">
        <v>279</v>
      </c>
    </row>
    <row r="18" spans="1:11" ht="15.95" customHeight="1">
      <c r="B18" s="166"/>
    </row>
    <row r="19" spans="1:11" ht="15.95" customHeight="1">
      <c r="A19" s="16">
        <v>1</v>
      </c>
      <c r="B19" s="167" t="s">
        <v>253</v>
      </c>
      <c r="C19" s="171" t="s">
        <v>254</v>
      </c>
      <c r="D19" s="16">
        <v>1</v>
      </c>
      <c r="E19" s="217">
        <f>3345.59+546.45+910.76+64.66</f>
        <v>4867.46</v>
      </c>
      <c r="F19" s="217">
        <v>0</v>
      </c>
      <c r="G19" s="217">
        <v>1017.9</v>
      </c>
      <c r="H19" s="217">
        <v>2128.23</v>
      </c>
    </row>
    <row r="20" spans="1:11" ht="24.95" customHeight="1">
      <c r="A20" s="16">
        <v>2</v>
      </c>
      <c r="B20" s="167" t="s">
        <v>255</v>
      </c>
      <c r="C20" s="171" t="s">
        <v>256</v>
      </c>
      <c r="D20" s="16">
        <v>1.5</v>
      </c>
      <c r="E20" s="217">
        <f>2695.5+285.96+51.76+74.67</f>
        <v>3107.89</v>
      </c>
      <c r="F20" s="217">
        <v>1030.77</v>
      </c>
      <c r="G20" s="217">
        <v>460.23</v>
      </c>
      <c r="H20" s="217">
        <v>0</v>
      </c>
    </row>
    <row r="21" spans="1:11" ht="24.95" customHeight="1">
      <c r="A21" s="16">
        <v>3</v>
      </c>
      <c r="B21" s="167" t="s">
        <v>257</v>
      </c>
      <c r="C21" s="171" t="s">
        <v>272</v>
      </c>
      <c r="D21" s="16">
        <v>1</v>
      </c>
      <c r="E21" s="217">
        <f>2045.75+6.99+1017.48+49.92+79.85</f>
        <v>3199.99</v>
      </c>
      <c r="F21" s="217">
        <v>601.33000000000004</v>
      </c>
      <c r="G21" s="217">
        <v>380.96</v>
      </c>
      <c r="H21" s="217">
        <v>0</v>
      </c>
    </row>
    <row r="22" spans="1:11" ht="24.95" customHeight="1">
      <c r="A22" s="16">
        <v>4</v>
      </c>
      <c r="B22" s="167" t="s">
        <v>258</v>
      </c>
      <c r="C22" s="171" t="s">
        <v>272</v>
      </c>
      <c r="D22" s="16">
        <v>1</v>
      </c>
      <c r="E22" s="217">
        <f>1409.21+706.11+37.23+60.61</f>
        <v>2213.16</v>
      </c>
      <c r="F22" s="217">
        <v>446.72</v>
      </c>
      <c r="G22" s="217">
        <v>344.37</v>
      </c>
      <c r="H22" s="217">
        <v>0</v>
      </c>
      <c r="J22" s="219"/>
      <c r="K22" s="219"/>
    </row>
    <row r="23" spans="1:11" ht="27" customHeight="1">
      <c r="A23" s="16">
        <v>5</v>
      </c>
      <c r="B23" s="167" t="s">
        <v>259</v>
      </c>
      <c r="C23" s="171" t="s">
        <v>272</v>
      </c>
      <c r="D23" s="16">
        <v>1</v>
      </c>
      <c r="E23" s="217">
        <f>1603.38+794.85+36.4+65.6</f>
        <v>2500.23</v>
      </c>
      <c r="F23" s="217">
        <v>659.88</v>
      </c>
      <c r="G23" s="217">
        <v>387.44</v>
      </c>
      <c r="H23" s="217">
        <v>0</v>
      </c>
    </row>
    <row r="24" spans="1:11" ht="29.25" customHeight="1">
      <c r="A24" s="16">
        <v>6</v>
      </c>
      <c r="B24" s="167" t="s">
        <v>260</v>
      </c>
      <c r="C24" s="171" t="s">
        <v>272</v>
      </c>
      <c r="D24" s="16">
        <v>1</v>
      </c>
      <c r="E24" s="217">
        <f>1951.03+6.99+49.29+76.07</f>
        <v>2083.38</v>
      </c>
      <c r="F24" s="217">
        <v>601.23</v>
      </c>
      <c r="G24" s="217">
        <v>380.96</v>
      </c>
      <c r="H24" s="217">
        <v>0</v>
      </c>
    </row>
    <row r="25" spans="1:11" ht="24.95" customHeight="1">
      <c r="A25" s="16">
        <v>7</v>
      </c>
      <c r="B25" s="167" t="s">
        <v>261</v>
      </c>
      <c r="C25" s="171" t="s">
        <v>272</v>
      </c>
      <c r="D25" s="16">
        <v>1</v>
      </c>
      <c r="E25" s="217">
        <f>2059.3+49.97+80.15</f>
        <v>2189.42</v>
      </c>
      <c r="F25" s="217">
        <v>508.1</v>
      </c>
      <c r="G25" s="217">
        <v>302.18</v>
      </c>
      <c r="H25" s="217">
        <v>0</v>
      </c>
    </row>
    <row r="26" spans="1:11" ht="24.95" customHeight="1">
      <c r="A26" s="16">
        <v>8</v>
      </c>
      <c r="B26" s="167" t="s">
        <v>262</v>
      </c>
      <c r="C26" s="171" t="s">
        <v>272</v>
      </c>
      <c r="D26" s="16">
        <v>1</v>
      </c>
      <c r="E26" s="217">
        <f>1856.06+71.72+920.59+40.07</f>
        <v>2888.44</v>
      </c>
      <c r="F26" s="217">
        <v>795.41</v>
      </c>
      <c r="G26" s="217">
        <v>425.06</v>
      </c>
      <c r="H26" s="217">
        <v>0</v>
      </c>
    </row>
    <row r="27" spans="1:11" ht="24.95" customHeight="1">
      <c r="A27" s="16">
        <v>9</v>
      </c>
      <c r="B27" s="167" t="s">
        <v>263</v>
      </c>
      <c r="C27" s="171" t="s">
        <v>272</v>
      </c>
      <c r="D27" s="16">
        <v>0.25</v>
      </c>
      <c r="E27" s="217">
        <f>415.73+46.59</f>
        <v>462.32</v>
      </c>
      <c r="F27" s="217">
        <v>115.9</v>
      </c>
      <c r="G27" s="217">
        <v>46.05</v>
      </c>
      <c r="H27" s="217">
        <v>0</v>
      </c>
    </row>
    <row r="28" spans="1:11" ht="24.95" customHeight="1">
      <c r="A28" s="16">
        <v>10</v>
      </c>
      <c r="B28" s="167" t="s">
        <v>264</v>
      </c>
      <c r="C28" s="171" t="s">
        <v>272</v>
      </c>
      <c r="D28" s="16">
        <v>1</v>
      </c>
      <c r="E28" s="217">
        <f>1801.25+6.99+895.8+39.57</f>
        <v>2743.61</v>
      </c>
      <c r="F28" s="217">
        <v>616.70000000000005</v>
      </c>
      <c r="G28" s="217">
        <v>243.78</v>
      </c>
      <c r="H28" s="217">
        <v>0</v>
      </c>
    </row>
    <row r="29" spans="1:11" ht="24.95" customHeight="1">
      <c r="A29" s="16">
        <v>11</v>
      </c>
      <c r="B29" s="167" t="s">
        <v>265</v>
      </c>
      <c r="C29" s="171" t="s">
        <v>272</v>
      </c>
      <c r="D29" s="16">
        <v>1</v>
      </c>
      <c r="E29" s="217">
        <f>1736.73+74.98+867.11+43.84</f>
        <v>2722.66</v>
      </c>
      <c r="F29" s="217">
        <v>649.57000000000005</v>
      </c>
      <c r="G29" s="217">
        <v>386.7</v>
      </c>
      <c r="H29" s="217">
        <v>0</v>
      </c>
    </row>
    <row r="30" spans="1:11" ht="24.95" customHeight="1">
      <c r="A30" s="16">
        <v>12</v>
      </c>
      <c r="B30" s="167" t="s">
        <v>266</v>
      </c>
      <c r="C30" s="171" t="s">
        <v>272</v>
      </c>
      <c r="D30" s="16">
        <v>1</v>
      </c>
      <c r="E30" s="217">
        <f>1689.66+73.09+412.24+39.25</f>
        <v>2214.2399999999998</v>
      </c>
      <c r="F30" s="217">
        <v>530.58000000000004</v>
      </c>
      <c r="G30" s="217">
        <v>309.14</v>
      </c>
      <c r="H30" s="217">
        <v>0</v>
      </c>
    </row>
    <row r="31" spans="1:11" ht="26.25" customHeight="1">
      <c r="A31" s="16">
        <v>13</v>
      </c>
      <c r="B31" s="167" t="s">
        <v>267</v>
      </c>
      <c r="C31" s="171" t="s">
        <v>256</v>
      </c>
      <c r="D31" s="16">
        <v>1</v>
      </c>
      <c r="E31" s="217">
        <f>1909.49+0.97+72.63+46.23+641.14</f>
        <v>2670.46</v>
      </c>
      <c r="F31" s="217">
        <v>646.16999999999996</v>
      </c>
      <c r="G31" s="217">
        <v>603.46</v>
      </c>
      <c r="H31" s="217">
        <v>0</v>
      </c>
    </row>
    <row r="32" spans="1:11" ht="24" customHeight="1">
      <c r="A32" s="16">
        <v>14</v>
      </c>
      <c r="B32" s="167" t="s">
        <v>273</v>
      </c>
      <c r="C32" s="171" t="s">
        <v>256</v>
      </c>
      <c r="D32" s="16">
        <v>1</v>
      </c>
      <c r="E32" s="217">
        <f>2064.72+6.99+80.7+1026.89+50.06</f>
        <v>3229.36</v>
      </c>
      <c r="F32" s="217">
        <v>1157.6600000000001</v>
      </c>
      <c r="G32" s="217">
        <v>461.97</v>
      </c>
      <c r="H32" s="217">
        <v>0</v>
      </c>
    </row>
    <row r="33" spans="1:8" ht="25.5" customHeight="1">
      <c r="A33" s="16">
        <v>15</v>
      </c>
      <c r="B33" s="167" t="s">
        <v>268</v>
      </c>
      <c r="C33" s="171" t="s">
        <v>256</v>
      </c>
      <c r="D33" s="16">
        <v>1</v>
      </c>
      <c r="E33" s="217">
        <f>2043.38+78.43+685.75+47.56</f>
        <v>2855.12</v>
      </c>
      <c r="F33" s="217">
        <v>805.19</v>
      </c>
      <c r="G33" s="217">
        <v>413.25</v>
      </c>
      <c r="H33" s="217">
        <v>0</v>
      </c>
    </row>
    <row r="34" spans="1:8" s="169" customFormat="1" ht="15.95" customHeight="1">
      <c r="B34" s="169" t="s">
        <v>269</v>
      </c>
      <c r="E34" s="169">
        <f>SUM(E19:E33)</f>
        <v>39947.74</v>
      </c>
      <c r="F34" s="169">
        <f>SUM(F19:F33)</f>
        <v>9165.2099999999991</v>
      </c>
      <c r="G34" s="169">
        <f>SUM(G19:G33)</f>
        <v>6163.45</v>
      </c>
      <c r="H34" s="169">
        <f>SUM(H19:H33)</f>
        <v>2128.23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14" sqref="A14:A19"/>
    </sheetView>
  </sheetViews>
  <sheetFormatPr defaultRowHeight="12.75"/>
  <cols>
    <col min="1" max="1" width="5.7109375" customWidth="1"/>
    <col min="2" max="2" width="29.140625" customWidth="1"/>
    <col min="3" max="3" width="19.28515625" customWidth="1"/>
    <col min="4" max="4" width="16.140625" customWidth="1"/>
    <col min="5" max="5" width="10.5703125" customWidth="1"/>
    <col min="6" max="6" width="8.140625" customWidth="1"/>
    <col min="7" max="7" width="13" customWidth="1"/>
  </cols>
  <sheetData>
    <row r="1" spans="1:7" ht="15">
      <c r="D1" s="327" t="s">
        <v>6</v>
      </c>
      <c r="E1" s="327"/>
      <c r="F1" s="270"/>
      <c r="G1" s="270"/>
    </row>
    <row r="2" spans="1:7" ht="15">
      <c r="D2" s="327" t="s">
        <v>158</v>
      </c>
      <c r="E2" s="327"/>
      <c r="F2" s="270"/>
      <c r="G2" s="270"/>
    </row>
    <row r="3" spans="1:7" ht="15" customHeight="1">
      <c r="D3" s="330" t="s">
        <v>306</v>
      </c>
      <c r="E3" s="330"/>
      <c r="F3" s="331"/>
      <c r="G3" s="270"/>
    </row>
    <row r="4" spans="1:7" ht="15">
      <c r="D4" s="195" t="s">
        <v>293</v>
      </c>
      <c r="E4" s="195"/>
    </row>
    <row r="5" spans="1:7" ht="15">
      <c r="D5" s="332" t="s">
        <v>354</v>
      </c>
      <c r="E5" s="270"/>
      <c r="F5" s="270"/>
      <c r="G5" s="270"/>
    </row>
    <row r="6" spans="1:7" ht="15">
      <c r="E6" s="195"/>
      <c r="F6" s="195"/>
    </row>
    <row r="7" spans="1:7" ht="15">
      <c r="E7" s="195"/>
      <c r="F7" s="195"/>
    </row>
    <row r="8" spans="1:7" ht="15">
      <c r="E8" s="195"/>
      <c r="F8" s="195"/>
    </row>
    <row r="9" spans="1:7" ht="19.5" customHeight="1">
      <c r="A9" s="335" t="s">
        <v>295</v>
      </c>
      <c r="B9" s="336"/>
      <c r="C9" s="336"/>
      <c r="D9" s="336"/>
      <c r="E9" s="336"/>
      <c r="F9" s="336"/>
    </row>
    <row r="10" spans="1:7" ht="34.5" customHeight="1">
      <c r="A10" s="328" t="s">
        <v>327</v>
      </c>
      <c r="B10" s="328"/>
      <c r="C10" s="328"/>
      <c r="D10" s="328"/>
      <c r="E10" s="328"/>
      <c r="F10" s="328"/>
    </row>
    <row r="11" spans="1:7" ht="12" customHeight="1">
      <c r="A11" s="329"/>
      <c r="B11" s="329"/>
      <c r="C11" s="329"/>
      <c r="D11" s="329"/>
      <c r="E11" s="329"/>
      <c r="F11" s="329"/>
    </row>
    <row r="13" spans="1:7" s="192" customFormat="1" ht="54" customHeight="1">
      <c r="A13" s="193" t="s">
        <v>282</v>
      </c>
      <c r="B13" s="193" t="s">
        <v>283</v>
      </c>
      <c r="C13" s="193" t="s">
        <v>284</v>
      </c>
      <c r="D13" s="193" t="s">
        <v>355</v>
      </c>
      <c r="E13" s="337" t="s">
        <v>356</v>
      </c>
      <c r="F13" s="289"/>
      <c r="G13" s="191"/>
    </row>
    <row r="14" spans="1:7" s="178" customFormat="1" ht="50.25" customHeight="1">
      <c r="A14" s="202" t="s">
        <v>113</v>
      </c>
      <c r="B14" s="193" t="s">
        <v>114</v>
      </c>
      <c r="C14" s="193" t="s">
        <v>70</v>
      </c>
      <c r="D14" s="232">
        <v>4.37</v>
      </c>
      <c r="E14" s="333">
        <v>5.24</v>
      </c>
      <c r="F14" s="334"/>
    </row>
    <row r="15" spans="1:7" s="178" customFormat="1" ht="39.75" customHeight="1">
      <c r="A15" s="202" t="s">
        <v>115</v>
      </c>
      <c r="B15" s="193" t="s">
        <v>116</v>
      </c>
      <c r="C15" s="193" t="s">
        <v>70</v>
      </c>
      <c r="D15" s="232">
        <v>7.19</v>
      </c>
      <c r="E15" s="333">
        <v>8.6300000000000008</v>
      </c>
      <c r="F15" s="334"/>
    </row>
    <row r="16" spans="1:7" s="178" customFormat="1" ht="59.25" customHeight="1">
      <c r="A16" s="202" t="s">
        <v>117</v>
      </c>
      <c r="B16" s="193" t="s">
        <v>118</v>
      </c>
      <c r="C16" s="193" t="s">
        <v>70</v>
      </c>
      <c r="D16" s="232">
        <v>8.5500000000000007</v>
      </c>
      <c r="E16" s="333">
        <v>10.26</v>
      </c>
      <c r="F16" s="334"/>
    </row>
    <row r="17" spans="1:6" s="178" customFormat="1" ht="66" customHeight="1">
      <c r="A17" s="202" t="s">
        <v>119</v>
      </c>
      <c r="B17" s="193" t="s">
        <v>120</v>
      </c>
      <c r="C17" s="193" t="s">
        <v>70</v>
      </c>
      <c r="D17" s="232">
        <v>11.18</v>
      </c>
      <c r="E17" s="333">
        <v>13.42</v>
      </c>
      <c r="F17" s="334"/>
    </row>
    <row r="18" spans="1:6" s="178" customFormat="1" ht="51" customHeight="1">
      <c r="A18" s="202" t="s">
        <v>121</v>
      </c>
      <c r="B18" s="194" t="s">
        <v>123</v>
      </c>
      <c r="C18" s="193" t="s">
        <v>70</v>
      </c>
      <c r="D18" s="232">
        <v>8.5500000000000007</v>
      </c>
      <c r="E18" s="333">
        <v>10.26</v>
      </c>
      <c r="F18" s="334"/>
    </row>
    <row r="19" spans="1:6" s="178" customFormat="1" ht="57" customHeight="1">
      <c r="A19" s="202" t="s">
        <v>122</v>
      </c>
      <c r="B19" s="194" t="s">
        <v>124</v>
      </c>
      <c r="C19" s="193" t="s">
        <v>70</v>
      </c>
      <c r="D19" s="232">
        <v>14.27</v>
      </c>
      <c r="E19" s="333">
        <v>17.12</v>
      </c>
      <c r="F19" s="334"/>
    </row>
    <row r="21" spans="1:6" ht="18.75" customHeight="1">
      <c r="B21" s="195"/>
      <c r="C21" s="195"/>
      <c r="D21" s="195"/>
      <c r="E21" s="195"/>
      <c r="F21" s="195"/>
    </row>
    <row r="22" spans="1:6" ht="17.25" customHeight="1">
      <c r="B22" s="195"/>
      <c r="C22" s="195"/>
      <c r="D22" s="195"/>
      <c r="E22" s="195"/>
      <c r="F22" s="195"/>
    </row>
    <row r="23" spans="1:6" ht="15">
      <c r="B23" s="195"/>
      <c r="C23" s="195"/>
      <c r="D23" s="195"/>
      <c r="E23" s="195"/>
      <c r="F23" s="195"/>
    </row>
    <row r="24" spans="1:6" ht="19.5" customHeight="1">
      <c r="B24" s="195" t="s">
        <v>294</v>
      </c>
      <c r="C24" s="195"/>
      <c r="D24" s="195"/>
      <c r="E24" s="216" t="s">
        <v>308</v>
      </c>
    </row>
    <row r="32" spans="1:6" ht="10.5" customHeight="1"/>
  </sheetData>
  <mergeCells count="14">
    <mergeCell ref="E18:F18"/>
    <mergeCell ref="E19:F19"/>
    <mergeCell ref="A9:F9"/>
    <mergeCell ref="E13:F13"/>
    <mergeCell ref="E14:F14"/>
    <mergeCell ref="E15:F15"/>
    <mergeCell ref="E16:F16"/>
    <mergeCell ref="E17:F17"/>
    <mergeCell ref="D1:G1"/>
    <mergeCell ref="A10:F10"/>
    <mergeCell ref="A11:F11"/>
    <mergeCell ref="D3:G3"/>
    <mergeCell ref="D2:G2"/>
    <mergeCell ref="D5:G5"/>
  </mergeCells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D5" sqref="D5:E5"/>
    </sheetView>
  </sheetViews>
  <sheetFormatPr defaultRowHeight="12.75"/>
  <cols>
    <col min="1" max="1" width="5" customWidth="1"/>
    <col min="2" max="2" width="34.85546875" customWidth="1"/>
    <col min="3" max="3" width="12.42578125" style="26" customWidth="1"/>
    <col min="4" max="4" width="17.5703125" style="26" customWidth="1"/>
    <col min="5" max="5" width="11.140625" style="26" customWidth="1"/>
  </cols>
  <sheetData>
    <row r="1" spans="1:8">
      <c r="C1" s="338" t="s">
        <v>6</v>
      </c>
      <c r="D1" s="339"/>
      <c r="E1" s="339"/>
    </row>
    <row r="2" spans="1:8" ht="15">
      <c r="C2" s="344" t="s">
        <v>158</v>
      </c>
      <c r="D2" s="339"/>
      <c r="E2" s="339"/>
    </row>
    <row r="3" spans="1:8" ht="15">
      <c r="C3" s="344" t="s">
        <v>306</v>
      </c>
      <c r="D3" s="339"/>
      <c r="E3" s="339"/>
    </row>
    <row r="4" spans="1:8" ht="15">
      <c r="C4" s="341" t="s">
        <v>309</v>
      </c>
      <c r="D4" s="341"/>
      <c r="E4" s="341"/>
    </row>
    <row r="5" spans="1:8" ht="15">
      <c r="C5" s="200"/>
      <c r="D5" s="342" t="s">
        <v>325</v>
      </c>
      <c r="E5" s="342"/>
    </row>
    <row r="6" spans="1:8">
      <c r="C6" s="198"/>
      <c r="D6" s="198"/>
      <c r="E6" s="199"/>
    </row>
    <row r="7" spans="1:8" ht="15.75">
      <c r="B7" s="328" t="s">
        <v>290</v>
      </c>
      <c r="C7" s="328"/>
      <c r="D7" s="328"/>
      <c r="E7" s="199"/>
    </row>
    <row r="8" spans="1:8" ht="51.75" customHeight="1">
      <c r="A8" s="340" t="s">
        <v>291</v>
      </c>
      <c r="B8" s="343"/>
      <c r="C8" s="343"/>
      <c r="D8" s="343"/>
      <c r="E8" s="343"/>
    </row>
    <row r="10" spans="1:8" ht="60">
      <c r="A10" s="193" t="s">
        <v>285</v>
      </c>
      <c r="B10" s="193" t="s">
        <v>39</v>
      </c>
      <c r="C10" s="193" t="s">
        <v>286</v>
      </c>
      <c r="D10" s="193" t="s">
        <v>287</v>
      </c>
      <c r="E10" s="193" t="s">
        <v>288</v>
      </c>
      <c r="F10" s="174"/>
      <c r="G10" s="174"/>
      <c r="H10" s="174"/>
    </row>
    <row r="11" spans="1:8" s="26" customFormat="1" ht="15">
      <c r="A11" s="196">
        <v>1</v>
      </c>
      <c r="B11" s="196">
        <v>2</v>
      </c>
      <c r="C11" s="196">
        <v>3</v>
      </c>
      <c r="D11" s="196">
        <v>4</v>
      </c>
      <c r="E11" s="196">
        <v>5</v>
      </c>
    </row>
    <row r="12" spans="1:8" ht="15">
      <c r="A12" s="197">
        <v>1</v>
      </c>
      <c r="B12" s="193" t="s">
        <v>114</v>
      </c>
      <c r="C12" s="196" t="s">
        <v>289</v>
      </c>
      <c r="D12" s="196" t="s">
        <v>307</v>
      </c>
      <c r="E12" s="196">
        <v>3.75</v>
      </c>
    </row>
    <row r="13" spans="1:8" ht="15">
      <c r="A13" s="197">
        <v>2</v>
      </c>
      <c r="B13" s="193" t="s">
        <v>116</v>
      </c>
      <c r="C13" s="196" t="s">
        <v>289</v>
      </c>
      <c r="D13" s="196" t="s">
        <v>307</v>
      </c>
      <c r="E13" s="196">
        <v>15</v>
      </c>
    </row>
    <row r="14" spans="1:8" ht="45">
      <c r="A14" s="197">
        <v>3</v>
      </c>
      <c r="B14" s="193" t="s">
        <v>118</v>
      </c>
      <c r="C14" s="196" t="s">
        <v>289</v>
      </c>
      <c r="D14" s="196" t="s">
        <v>307</v>
      </c>
      <c r="E14" s="196">
        <v>22.5</v>
      </c>
    </row>
    <row r="15" spans="1:8" ht="45">
      <c r="A15" s="197">
        <v>4</v>
      </c>
      <c r="B15" s="193" t="s">
        <v>120</v>
      </c>
      <c r="C15" s="196" t="s">
        <v>289</v>
      </c>
      <c r="D15" s="196" t="s">
        <v>307</v>
      </c>
      <c r="E15" s="196">
        <v>30</v>
      </c>
    </row>
    <row r="16" spans="1:8" ht="15">
      <c r="A16" s="197">
        <v>5</v>
      </c>
      <c r="B16" s="193" t="s">
        <v>123</v>
      </c>
      <c r="C16" s="196" t="s">
        <v>289</v>
      </c>
      <c r="D16" s="196" t="s">
        <v>307</v>
      </c>
      <c r="E16" s="196">
        <v>75</v>
      </c>
    </row>
    <row r="17" spans="1:5" ht="15">
      <c r="A17" s="197">
        <v>6</v>
      </c>
      <c r="B17" s="193" t="s">
        <v>124</v>
      </c>
      <c r="C17" s="196" t="s">
        <v>289</v>
      </c>
      <c r="D17" s="196" t="s">
        <v>307</v>
      </c>
      <c r="E17" s="196">
        <v>87.5</v>
      </c>
    </row>
    <row r="19" spans="1:5" ht="164.25" customHeight="1">
      <c r="A19" s="327" t="s">
        <v>292</v>
      </c>
      <c r="B19" s="327"/>
      <c r="C19" s="340"/>
      <c r="D19" s="340"/>
      <c r="E19" s="340"/>
    </row>
    <row r="21" spans="1:5" ht="15">
      <c r="A21" s="195"/>
      <c r="B21" s="195"/>
      <c r="C21" s="203"/>
      <c r="D21" s="340"/>
      <c r="E21" s="340"/>
    </row>
    <row r="22" spans="1:5" ht="15">
      <c r="A22" s="195"/>
      <c r="B22" s="195"/>
      <c r="C22" s="203"/>
      <c r="D22" s="203"/>
      <c r="E22" s="203"/>
    </row>
    <row r="23" spans="1:5" ht="31.5" customHeight="1">
      <c r="A23" s="195"/>
      <c r="B23" s="201"/>
      <c r="C23" s="203"/>
      <c r="D23" s="340"/>
      <c r="E23" s="340"/>
    </row>
  </sheetData>
  <mergeCells count="10">
    <mergeCell ref="C1:E1"/>
    <mergeCell ref="A19:E19"/>
    <mergeCell ref="D21:E21"/>
    <mergeCell ref="D23:E23"/>
    <mergeCell ref="C4:E4"/>
    <mergeCell ref="D5:E5"/>
    <mergeCell ref="B7:D7"/>
    <mergeCell ref="A8:E8"/>
    <mergeCell ref="C3:E3"/>
    <mergeCell ref="C2:E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81"/>
  <sheetViews>
    <sheetView tabSelected="1" topLeftCell="A67" workbookViewId="0">
      <selection activeCell="G18" sqref="G18"/>
    </sheetView>
  </sheetViews>
  <sheetFormatPr defaultRowHeight="12.75"/>
  <cols>
    <col min="1" max="1" width="4.140625" customWidth="1"/>
    <col min="2" max="2" width="5.140625" customWidth="1"/>
    <col min="3" max="3" width="4.28515625" customWidth="1"/>
    <col min="4" max="4" width="37.85546875" customWidth="1"/>
    <col min="5" max="5" width="12.28515625" customWidth="1"/>
    <col min="6" max="6" width="11.140625" customWidth="1"/>
    <col min="7" max="7" width="13.28515625" customWidth="1"/>
  </cols>
  <sheetData>
    <row r="1" spans="1:19" ht="15.75" customHeight="1">
      <c r="A1" s="148"/>
      <c r="B1" s="241"/>
      <c r="C1" s="241"/>
      <c r="D1" s="241"/>
      <c r="E1" s="345" t="s">
        <v>353</v>
      </c>
      <c r="F1" s="346"/>
      <c r="G1" s="346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ht="15.75" customHeight="1">
      <c r="A2" s="241"/>
      <c r="B2" s="241"/>
      <c r="C2" s="241"/>
      <c r="D2" s="241"/>
      <c r="E2" s="346"/>
      <c r="F2" s="346"/>
      <c r="G2" s="346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15">
      <c r="A3" s="241"/>
      <c r="B3" s="241"/>
      <c r="C3" s="241"/>
      <c r="D3" s="241"/>
      <c r="E3" s="346"/>
      <c r="F3" s="346"/>
      <c r="G3" s="346"/>
      <c r="H3" s="205"/>
      <c r="I3" s="205"/>
      <c r="J3" s="205"/>
      <c r="K3" s="206"/>
      <c r="L3" s="206"/>
      <c r="M3" s="206"/>
      <c r="N3" s="206"/>
      <c r="O3" s="207"/>
      <c r="P3" s="207"/>
      <c r="Q3" s="208"/>
      <c r="R3" s="208"/>
      <c r="S3" s="208"/>
    </row>
    <row r="4" spans="1:19" ht="15.75">
      <c r="A4" s="242"/>
      <c r="B4" s="241"/>
      <c r="C4" s="241"/>
      <c r="D4" s="241"/>
      <c r="E4" s="241"/>
      <c r="F4" s="241"/>
      <c r="G4" s="241"/>
      <c r="H4" s="205"/>
      <c r="I4" s="205"/>
      <c r="J4" s="205"/>
      <c r="K4" s="206"/>
      <c r="L4" s="206"/>
      <c r="M4" s="206"/>
      <c r="N4" s="206"/>
      <c r="O4" s="207"/>
      <c r="P4" s="207"/>
      <c r="Q4" s="208"/>
      <c r="R4" s="208"/>
      <c r="S4" s="208"/>
    </row>
    <row r="5" spans="1:19" ht="21.75" customHeight="1">
      <c r="A5" s="241"/>
      <c r="B5" s="241"/>
      <c r="C5" s="241"/>
      <c r="D5" s="241"/>
      <c r="E5" s="241"/>
      <c r="F5" s="241"/>
      <c r="G5" s="241"/>
      <c r="H5" s="205"/>
      <c r="I5" s="205"/>
      <c r="J5" s="205"/>
      <c r="K5" s="206"/>
      <c r="L5" s="206"/>
      <c r="M5" s="206"/>
      <c r="N5" s="206"/>
      <c r="O5" s="207"/>
      <c r="P5" s="207"/>
      <c r="Q5" s="208"/>
      <c r="R5" s="208"/>
      <c r="S5" s="208"/>
    </row>
    <row r="6" spans="1:19" ht="25.5" customHeight="1">
      <c r="A6" s="347" t="s">
        <v>352</v>
      </c>
      <c r="B6" s="347"/>
      <c r="C6" s="347"/>
      <c r="D6" s="347"/>
      <c r="E6" s="347"/>
      <c r="F6" s="347"/>
      <c r="G6" s="347"/>
    </row>
    <row r="7" spans="1:19" ht="24.75" customHeight="1">
      <c r="A7" s="347" t="s">
        <v>328</v>
      </c>
      <c r="B7" s="347"/>
      <c r="C7" s="347"/>
      <c r="D7" s="347"/>
      <c r="E7" s="347"/>
      <c r="F7" s="347"/>
      <c r="G7" s="347"/>
    </row>
    <row r="8" spans="1:19" ht="18.75">
      <c r="A8" s="347" t="s">
        <v>330</v>
      </c>
      <c r="B8" s="347"/>
      <c r="C8" s="347"/>
      <c r="D8" s="347"/>
      <c r="E8" s="347"/>
      <c r="F8" s="347"/>
      <c r="G8" s="347"/>
    </row>
    <row r="9" spans="1:19" ht="15.75">
      <c r="A9" s="118"/>
      <c r="B9" s="118"/>
      <c r="C9" s="118"/>
      <c r="D9" s="118"/>
      <c r="E9" s="119"/>
      <c r="F9" s="119"/>
      <c r="G9" s="119"/>
    </row>
    <row r="10" spans="1:19" ht="2.25" customHeight="1" thickBot="1">
      <c r="A10" s="119"/>
      <c r="B10" s="119"/>
      <c r="C10" s="119"/>
      <c r="D10" s="121"/>
      <c r="E10" s="121"/>
      <c r="F10" s="121"/>
      <c r="G10" s="121"/>
    </row>
    <row r="11" spans="1:19" ht="16.5" customHeight="1" thickBot="1">
      <c r="A11" s="253" t="s">
        <v>0</v>
      </c>
      <c r="B11" s="263"/>
      <c r="C11" s="263"/>
      <c r="D11" s="253" t="s">
        <v>329</v>
      </c>
      <c r="E11" s="250" t="s">
        <v>19</v>
      </c>
      <c r="F11" s="261" t="s">
        <v>163</v>
      </c>
      <c r="G11" s="349"/>
    </row>
    <row r="12" spans="1:19" ht="16.5" customHeight="1" thickBot="1">
      <c r="A12" s="264"/>
      <c r="B12" s="265"/>
      <c r="C12" s="265"/>
      <c r="D12" s="264"/>
      <c r="E12" s="251"/>
      <c r="F12" s="261" t="s">
        <v>165</v>
      </c>
      <c r="G12" s="262"/>
    </row>
    <row r="13" spans="1:19" ht="32.25" thickBot="1">
      <c r="A13" s="266"/>
      <c r="B13" s="267"/>
      <c r="C13" s="267"/>
      <c r="D13" s="266"/>
      <c r="E13" s="252"/>
      <c r="F13" s="124" t="s">
        <v>167</v>
      </c>
      <c r="G13" s="124" t="s">
        <v>168</v>
      </c>
    </row>
    <row r="14" spans="1:19" ht="16.5" thickBot="1">
      <c r="A14" s="258">
        <v>1</v>
      </c>
      <c r="B14" s="259"/>
      <c r="C14" s="260"/>
      <c r="D14" s="127">
        <v>2</v>
      </c>
      <c r="E14" s="127">
        <v>3</v>
      </c>
      <c r="F14" s="128">
        <v>4</v>
      </c>
      <c r="G14" s="128">
        <v>5</v>
      </c>
    </row>
    <row r="15" spans="1:19" ht="16.5" thickBot="1">
      <c r="A15" s="209" t="s">
        <v>169</v>
      </c>
      <c r="B15" s="209"/>
      <c r="C15" s="209"/>
      <c r="D15" s="210" t="s">
        <v>170</v>
      </c>
      <c r="E15" s="211"/>
      <c r="F15" s="129"/>
      <c r="G15" s="129"/>
    </row>
    <row r="16" spans="1:19" ht="52.5" customHeight="1" thickBot="1">
      <c r="A16" s="213" t="s">
        <v>169</v>
      </c>
      <c r="B16" s="213" t="s">
        <v>169</v>
      </c>
      <c r="C16" s="213"/>
      <c r="D16" s="210" t="s">
        <v>171</v>
      </c>
      <c r="E16" s="211"/>
      <c r="F16" s="240"/>
      <c r="G16" s="240"/>
    </row>
    <row r="17" spans="1:7" ht="38.25" customHeight="1" thickBot="1">
      <c r="A17" s="213" t="s">
        <v>169</v>
      </c>
      <c r="B17" s="213" t="s">
        <v>169</v>
      </c>
      <c r="C17" s="213" t="s">
        <v>169</v>
      </c>
      <c r="D17" s="212" t="s">
        <v>55</v>
      </c>
      <c r="E17" s="211" t="s">
        <v>172</v>
      </c>
      <c r="F17" s="240">
        <v>1.78</v>
      </c>
      <c r="G17" s="240">
        <v>2.14</v>
      </c>
    </row>
    <row r="18" spans="1:7" ht="62.25" customHeight="1" thickBot="1">
      <c r="A18" s="213" t="s">
        <v>169</v>
      </c>
      <c r="B18" s="213" t="s">
        <v>169</v>
      </c>
      <c r="C18" s="213" t="s">
        <v>173</v>
      </c>
      <c r="D18" s="212" t="s">
        <v>174</v>
      </c>
      <c r="E18" s="211" t="s">
        <v>175</v>
      </c>
      <c r="F18" s="240">
        <v>1.05</v>
      </c>
      <c r="G18" s="240">
        <v>1.26</v>
      </c>
    </row>
    <row r="19" spans="1:7" ht="67.5" customHeight="1" thickBot="1">
      <c r="A19" s="213" t="s">
        <v>169</v>
      </c>
      <c r="B19" s="213" t="s">
        <v>169</v>
      </c>
      <c r="C19" s="213" t="s">
        <v>176</v>
      </c>
      <c r="D19" s="212" t="s">
        <v>177</v>
      </c>
      <c r="E19" s="211" t="s">
        <v>178</v>
      </c>
      <c r="F19" s="240">
        <v>0.64</v>
      </c>
      <c r="G19" s="240">
        <v>0.77</v>
      </c>
    </row>
    <row r="20" spans="1:7" ht="1.5" hidden="1" customHeight="1" thickBot="1">
      <c r="A20" s="213" t="s">
        <v>169</v>
      </c>
      <c r="B20" s="213" t="s">
        <v>173</v>
      </c>
      <c r="C20" s="213"/>
      <c r="D20" s="212" t="s">
        <v>179</v>
      </c>
      <c r="E20" s="211" t="s">
        <v>172</v>
      </c>
      <c r="F20" s="240"/>
      <c r="G20" s="240"/>
    </row>
    <row r="21" spans="1:7" ht="53.25" customHeight="1" thickBot="1">
      <c r="A21" s="213" t="s">
        <v>169</v>
      </c>
      <c r="B21" s="213" t="s">
        <v>176</v>
      </c>
      <c r="C21" s="213"/>
      <c r="D21" s="210" t="s">
        <v>180</v>
      </c>
      <c r="E21" s="211"/>
      <c r="F21" s="240"/>
      <c r="G21" s="240"/>
    </row>
    <row r="22" spans="1:7" ht="36.75" customHeight="1" thickBot="1">
      <c r="A22" s="213" t="s">
        <v>169</v>
      </c>
      <c r="B22" s="213" t="s">
        <v>176</v>
      </c>
      <c r="C22" s="213" t="s">
        <v>169</v>
      </c>
      <c r="D22" s="212" t="s">
        <v>55</v>
      </c>
      <c r="E22" s="211" t="s">
        <v>172</v>
      </c>
      <c r="F22" s="240">
        <v>15.04</v>
      </c>
      <c r="G22" s="240">
        <v>18.05</v>
      </c>
    </row>
    <row r="23" spans="1:7" ht="65.25" customHeight="1" thickBot="1">
      <c r="A23" s="213" t="s">
        <v>169</v>
      </c>
      <c r="B23" s="213" t="s">
        <v>176</v>
      </c>
      <c r="C23" s="213" t="s">
        <v>173</v>
      </c>
      <c r="D23" s="212" t="s">
        <v>174</v>
      </c>
      <c r="E23" s="211" t="s">
        <v>175</v>
      </c>
      <c r="F23" s="240">
        <v>5.05</v>
      </c>
      <c r="G23" s="240">
        <v>6.06</v>
      </c>
    </row>
    <row r="24" spans="1:7" ht="66" customHeight="1" thickBot="1">
      <c r="A24" s="213" t="s">
        <v>169</v>
      </c>
      <c r="B24" s="213" t="s">
        <v>176</v>
      </c>
      <c r="C24" s="213" t="s">
        <v>176</v>
      </c>
      <c r="D24" s="212" t="s">
        <v>177</v>
      </c>
      <c r="E24" s="211" t="s">
        <v>178</v>
      </c>
      <c r="F24" s="240">
        <v>2.76</v>
      </c>
      <c r="G24" s="240">
        <v>3.31</v>
      </c>
    </row>
    <row r="25" spans="1:7" ht="67.5" customHeight="1" thickBot="1">
      <c r="A25" s="213" t="s">
        <v>169</v>
      </c>
      <c r="B25" s="213" t="s">
        <v>181</v>
      </c>
      <c r="C25" s="213"/>
      <c r="D25" s="212" t="s">
        <v>69</v>
      </c>
      <c r="E25" s="211" t="s">
        <v>182</v>
      </c>
      <c r="F25" s="240">
        <v>5.61</v>
      </c>
      <c r="G25" s="240">
        <v>6.73</v>
      </c>
    </row>
    <row r="26" spans="1:7" ht="63" customHeight="1" thickBot="1">
      <c r="A26" s="213" t="s">
        <v>169</v>
      </c>
      <c r="B26" s="213" t="s">
        <v>183</v>
      </c>
      <c r="C26" s="213"/>
      <c r="D26" s="212" t="s">
        <v>74</v>
      </c>
      <c r="E26" s="211" t="s">
        <v>178</v>
      </c>
      <c r="F26" s="240">
        <v>5.94</v>
      </c>
      <c r="G26" s="240">
        <v>7.13</v>
      </c>
    </row>
    <row r="27" spans="1:7" ht="32.25" hidden="1" thickBot="1">
      <c r="A27" s="213" t="s">
        <v>169</v>
      </c>
      <c r="B27" s="213" t="s">
        <v>184</v>
      </c>
      <c r="C27" s="213"/>
      <c r="D27" s="212" t="s">
        <v>185</v>
      </c>
      <c r="E27" s="211" t="s">
        <v>172</v>
      </c>
      <c r="F27" s="240"/>
      <c r="G27" s="240"/>
    </row>
    <row r="28" spans="1:7" ht="18.75" customHeight="1" thickBot="1">
      <c r="A28" s="213" t="s">
        <v>173</v>
      </c>
      <c r="B28" s="213"/>
      <c r="C28" s="213"/>
      <c r="D28" s="210" t="s">
        <v>188</v>
      </c>
      <c r="E28" s="211"/>
      <c r="F28" s="240"/>
      <c r="G28" s="240"/>
    </row>
    <row r="29" spans="1:7" ht="48" thickBot="1">
      <c r="A29" s="213" t="s">
        <v>173</v>
      </c>
      <c r="B29" s="213" t="s">
        <v>169</v>
      </c>
      <c r="C29" s="213"/>
      <c r="D29" s="210" t="s">
        <v>189</v>
      </c>
      <c r="E29" s="211"/>
      <c r="F29" s="240"/>
      <c r="G29" s="240"/>
    </row>
    <row r="30" spans="1:7" ht="65.25" customHeight="1" thickBot="1">
      <c r="A30" s="213" t="s">
        <v>173</v>
      </c>
      <c r="B30" s="213" t="s">
        <v>169</v>
      </c>
      <c r="C30" s="213" t="s">
        <v>169</v>
      </c>
      <c r="D30" s="212" t="s">
        <v>55</v>
      </c>
      <c r="E30" s="211" t="s">
        <v>172</v>
      </c>
      <c r="F30" s="240">
        <v>4.09</v>
      </c>
      <c r="G30" s="240">
        <v>4.91</v>
      </c>
    </row>
    <row r="31" spans="1:7" ht="65.25" customHeight="1" thickBot="1">
      <c r="A31" s="213" t="s">
        <v>173</v>
      </c>
      <c r="B31" s="213" t="s">
        <v>169</v>
      </c>
      <c r="C31" s="213" t="s">
        <v>173</v>
      </c>
      <c r="D31" s="212" t="s">
        <v>174</v>
      </c>
      <c r="E31" s="211" t="s">
        <v>178</v>
      </c>
      <c r="F31" s="240">
        <v>3.91</v>
      </c>
      <c r="G31" s="240">
        <v>4.6900000000000004</v>
      </c>
    </row>
    <row r="32" spans="1:7" ht="71.25" customHeight="1" thickBot="1">
      <c r="A32" s="213" t="s">
        <v>173</v>
      </c>
      <c r="B32" s="213" t="s">
        <v>169</v>
      </c>
      <c r="C32" s="213" t="s">
        <v>176</v>
      </c>
      <c r="D32" s="212" t="s">
        <v>177</v>
      </c>
      <c r="E32" s="211" t="s">
        <v>178</v>
      </c>
      <c r="F32" s="240">
        <v>2.2200000000000002</v>
      </c>
      <c r="G32" s="240">
        <v>2.66</v>
      </c>
    </row>
    <row r="33" spans="1:7" ht="41.25" customHeight="1" thickBot="1">
      <c r="A33" s="213" t="s">
        <v>173</v>
      </c>
      <c r="B33" s="213" t="s">
        <v>173</v>
      </c>
      <c r="C33" s="213"/>
      <c r="D33" s="210" t="s">
        <v>190</v>
      </c>
      <c r="E33" s="211"/>
      <c r="F33" s="240"/>
      <c r="G33" s="240"/>
    </row>
    <row r="34" spans="1:7" ht="45.75" customHeight="1" thickBot="1">
      <c r="A34" s="213" t="s">
        <v>173</v>
      </c>
      <c r="B34" s="213" t="s">
        <v>173</v>
      </c>
      <c r="C34" s="213" t="s">
        <v>169</v>
      </c>
      <c r="D34" s="212" t="s">
        <v>55</v>
      </c>
      <c r="E34" s="211" t="s">
        <v>172</v>
      </c>
      <c r="F34" s="240">
        <v>3.01</v>
      </c>
      <c r="G34" s="240">
        <v>3.61</v>
      </c>
    </row>
    <row r="35" spans="1:7" ht="63.75" thickBot="1">
      <c r="A35" s="213" t="s">
        <v>173</v>
      </c>
      <c r="B35" s="213" t="s">
        <v>173</v>
      </c>
      <c r="C35" s="213" t="s">
        <v>173</v>
      </c>
      <c r="D35" s="212" t="s">
        <v>174</v>
      </c>
      <c r="E35" s="211" t="s">
        <v>178</v>
      </c>
      <c r="F35" s="240">
        <v>2.66</v>
      </c>
      <c r="G35" s="240">
        <v>3.19</v>
      </c>
    </row>
    <row r="36" spans="1:7" ht="65.25" customHeight="1" thickBot="1">
      <c r="A36" s="213" t="s">
        <v>173</v>
      </c>
      <c r="B36" s="213" t="s">
        <v>173</v>
      </c>
      <c r="C36" s="213" t="s">
        <v>176</v>
      </c>
      <c r="D36" s="212" t="s">
        <v>177</v>
      </c>
      <c r="E36" s="211" t="s">
        <v>178</v>
      </c>
      <c r="F36" s="240">
        <v>1.78</v>
      </c>
      <c r="G36" s="240">
        <v>2.14</v>
      </c>
    </row>
    <row r="37" spans="1:7" ht="39" hidden="1" customHeight="1" thickBot="1">
      <c r="A37" s="213" t="s">
        <v>173</v>
      </c>
      <c r="B37" s="213" t="s">
        <v>176</v>
      </c>
      <c r="C37" s="213"/>
      <c r="D37" s="212" t="s">
        <v>191</v>
      </c>
      <c r="E37" s="211" t="s">
        <v>172</v>
      </c>
      <c r="F37" s="240"/>
      <c r="G37" s="240"/>
    </row>
    <row r="38" spans="1:7" ht="66" customHeight="1" thickBot="1">
      <c r="A38" s="213" t="s">
        <v>173</v>
      </c>
      <c r="B38" s="213" t="s">
        <v>181</v>
      </c>
      <c r="C38" s="213"/>
      <c r="D38" s="210" t="s">
        <v>159</v>
      </c>
      <c r="E38" s="211"/>
      <c r="F38" s="240"/>
      <c r="G38" s="240"/>
    </row>
    <row r="39" spans="1:7" ht="40.5" customHeight="1" thickBot="1">
      <c r="A39" s="213" t="s">
        <v>173</v>
      </c>
      <c r="B39" s="213" t="s">
        <v>181</v>
      </c>
      <c r="C39" s="213" t="s">
        <v>169</v>
      </c>
      <c r="D39" s="212" t="s">
        <v>55</v>
      </c>
      <c r="E39" s="211" t="s">
        <v>172</v>
      </c>
      <c r="F39" s="240">
        <v>17.579999999999998</v>
      </c>
      <c r="G39" s="240">
        <v>21.1</v>
      </c>
    </row>
    <row r="40" spans="1:7" ht="66.75" customHeight="1" thickBot="1">
      <c r="A40" s="213" t="s">
        <v>173</v>
      </c>
      <c r="B40" s="213" t="s">
        <v>181</v>
      </c>
      <c r="C40" s="213" t="s">
        <v>173</v>
      </c>
      <c r="D40" s="212" t="s">
        <v>174</v>
      </c>
      <c r="E40" s="211" t="s">
        <v>178</v>
      </c>
      <c r="F40" s="240">
        <v>6.04</v>
      </c>
      <c r="G40" s="240">
        <v>7.25</v>
      </c>
    </row>
    <row r="41" spans="1:7" ht="65.25" customHeight="1" thickBot="1">
      <c r="A41" s="213" t="s">
        <v>173</v>
      </c>
      <c r="B41" s="213" t="s">
        <v>181</v>
      </c>
      <c r="C41" s="213" t="s">
        <v>176</v>
      </c>
      <c r="D41" s="212" t="s">
        <v>177</v>
      </c>
      <c r="E41" s="211" t="s">
        <v>178</v>
      </c>
      <c r="F41" s="240">
        <v>3.36</v>
      </c>
      <c r="G41" s="240">
        <v>4.03</v>
      </c>
    </row>
    <row r="42" spans="1:7" ht="54.75" customHeight="1" thickBot="1">
      <c r="A42" s="213" t="s">
        <v>173</v>
      </c>
      <c r="B42" s="213" t="s">
        <v>183</v>
      </c>
      <c r="C42" s="213"/>
      <c r="D42" s="210" t="s">
        <v>192</v>
      </c>
      <c r="E42" s="211"/>
      <c r="F42" s="240"/>
      <c r="G42" s="240"/>
    </row>
    <row r="43" spans="1:7" ht="42" customHeight="1" thickBot="1">
      <c r="A43" s="213" t="s">
        <v>173</v>
      </c>
      <c r="B43" s="213" t="s">
        <v>183</v>
      </c>
      <c r="C43" s="213" t="s">
        <v>169</v>
      </c>
      <c r="D43" s="212" t="s">
        <v>55</v>
      </c>
      <c r="E43" s="211" t="s">
        <v>172</v>
      </c>
      <c r="F43" s="240">
        <v>2.76</v>
      </c>
      <c r="G43" s="240">
        <v>3.31</v>
      </c>
    </row>
    <row r="44" spans="1:7" ht="65.25" customHeight="1" thickBot="1">
      <c r="A44" s="213" t="s">
        <v>173</v>
      </c>
      <c r="B44" s="213" t="s">
        <v>183</v>
      </c>
      <c r="C44" s="213" t="s">
        <v>173</v>
      </c>
      <c r="D44" s="212" t="s">
        <v>174</v>
      </c>
      <c r="E44" s="211" t="s">
        <v>178</v>
      </c>
      <c r="F44" s="240">
        <v>2.39</v>
      </c>
      <c r="G44" s="240">
        <v>2.87</v>
      </c>
    </row>
    <row r="45" spans="1:7" ht="63.75" thickBot="1">
      <c r="A45" s="213" t="s">
        <v>173</v>
      </c>
      <c r="B45" s="213" t="s">
        <v>183</v>
      </c>
      <c r="C45" s="213" t="s">
        <v>176</v>
      </c>
      <c r="D45" s="212" t="s">
        <v>177</v>
      </c>
      <c r="E45" s="211" t="s">
        <v>178</v>
      </c>
      <c r="F45" s="240">
        <v>1.95</v>
      </c>
      <c r="G45" s="240">
        <v>2.34</v>
      </c>
    </row>
    <row r="46" spans="1:7" ht="66.75" customHeight="1" thickBot="1">
      <c r="A46" s="213" t="s">
        <v>173</v>
      </c>
      <c r="B46" s="213" t="s">
        <v>184</v>
      </c>
      <c r="C46" s="213"/>
      <c r="D46" s="212" t="s">
        <v>193</v>
      </c>
      <c r="E46" s="211" t="s">
        <v>182</v>
      </c>
      <c r="F46" s="240">
        <v>7.56</v>
      </c>
      <c r="G46" s="240">
        <v>9.07</v>
      </c>
    </row>
    <row r="47" spans="1:7" ht="70.5" customHeight="1" thickBot="1">
      <c r="A47" s="213" t="s">
        <v>173</v>
      </c>
      <c r="B47" s="213" t="s">
        <v>186</v>
      </c>
      <c r="C47" s="213"/>
      <c r="D47" s="212" t="s">
        <v>194</v>
      </c>
      <c r="E47" s="211" t="s">
        <v>178</v>
      </c>
      <c r="F47" s="240">
        <v>9.09</v>
      </c>
      <c r="G47" s="240">
        <v>10.91</v>
      </c>
    </row>
    <row r="48" spans="1:7" ht="36" customHeight="1" thickBot="1">
      <c r="A48" s="213" t="s">
        <v>173</v>
      </c>
      <c r="B48" s="213" t="s">
        <v>195</v>
      </c>
      <c r="C48" s="213"/>
      <c r="D48" s="212" t="s">
        <v>196</v>
      </c>
      <c r="E48" s="211" t="s">
        <v>172</v>
      </c>
      <c r="F48" s="240">
        <v>0.2</v>
      </c>
      <c r="G48" s="240">
        <v>0.24</v>
      </c>
    </row>
    <row r="49" spans="1:7" ht="40.5" customHeight="1" thickBot="1">
      <c r="A49" s="213" t="s">
        <v>173</v>
      </c>
      <c r="B49" s="213" t="s">
        <v>197</v>
      </c>
      <c r="C49" s="213"/>
      <c r="D49" s="212" t="s">
        <v>198</v>
      </c>
      <c r="E49" s="211" t="s">
        <v>172</v>
      </c>
      <c r="F49" s="240">
        <v>1.1399999999999999</v>
      </c>
      <c r="G49" s="240">
        <v>1.37</v>
      </c>
    </row>
    <row r="50" spans="1:7" ht="70.5" customHeight="1" thickBot="1">
      <c r="A50" s="213" t="s">
        <v>173</v>
      </c>
      <c r="B50" s="213" t="s">
        <v>199</v>
      </c>
      <c r="C50" s="213"/>
      <c r="D50" s="212" t="s">
        <v>200</v>
      </c>
      <c r="E50" s="211" t="s">
        <v>201</v>
      </c>
      <c r="F50" s="240">
        <v>38.020000000000003</v>
      </c>
      <c r="G50" s="240">
        <v>45.62</v>
      </c>
    </row>
    <row r="51" spans="1:7" ht="39.75" customHeight="1" thickBot="1">
      <c r="A51" s="213" t="s">
        <v>173</v>
      </c>
      <c r="B51" s="213" t="s">
        <v>204</v>
      </c>
      <c r="C51" s="213"/>
      <c r="D51" s="212" t="s">
        <v>107</v>
      </c>
      <c r="E51" s="211" t="s">
        <v>172</v>
      </c>
      <c r="F51" s="240">
        <v>11.34</v>
      </c>
      <c r="G51" s="240">
        <v>13.61</v>
      </c>
    </row>
    <row r="52" spans="1:7" ht="42" hidden="1" customHeight="1" thickBot="1">
      <c r="A52" s="213" t="s">
        <v>173</v>
      </c>
      <c r="B52" s="213" t="s">
        <v>205</v>
      </c>
      <c r="C52" s="213"/>
      <c r="D52" s="212" t="s">
        <v>206</v>
      </c>
      <c r="E52" s="211"/>
      <c r="F52" s="240"/>
      <c r="G52" s="240"/>
    </row>
    <row r="53" spans="1:7" ht="0.75" hidden="1" customHeight="1" thickBot="1">
      <c r="A53" s="213" t="s">
        <v>173</v>
      </c>
      <c r="B53" s="213" t="s">
        <v>205</v>
      </c>
      <c r="C53" s="213" t="s">
        <v>169</v>
      </c>
      <c r="D53" s="212" t="s">
        <v>207</v>
      </c>
      <c r="E53" s="211" t="s">
        <v>208</v>
      </c>
      <c r="F53" s="240"/>
      <c r="G53" s="240"/>
    </row>
    <row r="54" spans="1:7" ht="54" hidden="1" customHeight="1" thickBot="1">
      <c r="A54" s="213" t="s">
        <v>173</v>
      </c>
      <c r="B54" s="213" t="s">
        <v>205</v>
      </c>
      <c r="C54" s="213" t="s">
        <v>173</v>
      </c>
      <c r="D54" s="212" t="s">
        <v>209</v>
      </c>
      <c r="E54" s="211" t="s">
        <v>208</v>
      </c>
      <c r="F54" s="240"/>
      <c r="G54" s="240"/>
    </row>
    <row r="55" spans="1:7" ht="30" customHeight="1" thickBot="1">
      <c r="A55" s="213" t="s">
        <v>176</v>
      </c>
      <c r="B55" s="213"/>
      <c r="C55" s="213"/>
      <c r="D55" s="210" t="s">
        <v>210</v>
      </c>
      <c r="E55" s="211"/>
      <c r="F55" s="240"/>
      <c r="G55" s="240"/>
    </row>
    <row r="56" spans="1:7" ht="42" customHeight="1" thickBot="1">
      <c r="A56" s="213" t="s">
        <v>176</v>
      </c>
      <c r="B56" s="213" t="s">
        <v>169</v>
      </c>
      <c r="C56" s="213"/>
      <c r="D56" s="210" t="s">
        <v>211</v>
      </c>
      <c r="E56" s="211"/>
      <c r="F56" s="240"/>
      <c r="G56" s="240"/>
    </row>
    <row r="57" spans="1:7" ht="36" customHeight="1" thickBot="1">
      <c r="A57" s="213" t="s">
        <v>176</v>
      </c>
      <c r="B57" s="213" t="s">
        <v>169</v>
      </c>
      <c r="C57" s="213" t="s">
        <v>169</v>
      </c>
      <c r="D57" s="212" t="s">
        <v>212</v>
      </c>
      <c r="E57" s="211" t="s">
        <v>172</v>
      </c>
      <c r="F57" s="240">
        <v>4.37</v>
      </c>
      <c r="G57" s="240">
        <v>5.24</v>
      </c>
    </row>
    <row r="58" spans="1:7" ht="34.5" customHeight="1" thickBot="1">
      <c r="A58" s="213" t="s">
        <v>176</v>
      </c>
      <c r="B58" s="213" t="s">
        <v>169</v>
      </c>
      <c r="C58" s="213" t="s">
        <v>173</v>
      </c>
      <c r="D58" s="212" t="s">
        <v>213</v>
      </c>
      <c r="E58" s="211" t="s">
        <v>172</v>
      </c>
      <c r="F58" s="240">
        <v>7.19</v>
      </c>
      <c r="G58" s="240">
        <v>8.6300000000000008</v>
      </c>
    </row>
    <row r="59" spans="1:7" ht="45" customHeight="1" thickBot="1">
      <c r="A59" s="213" t="s">
        <v>176</v>
      </c>
      <c r="B59" s="213" t="s">
        <v>169</v>
      </c>
      <c r="C59" s="213" t="s">
        <v>176</v>
      </c>
      <c r="D59" s="212" t="s">
        <v>214</v>
      </c>
      <c r="E59" s="211" t="s">
        <v>172</v>
      </c>
      <c r="F59" s="240">
        <v>8.5500000000000007</v>
      </c>
      <c r="G59" s="240">
        <v>10.26</v>
      </c>
    </row>
    <row r="60" spans="1:7" ht="39.75" customHeight="1" thickBot="1">
      <c r="A60" s="213" t="s">
        <v>176</v>
      </c>
      <c r="B60" s="213" t="s">
        <v>169</v>
      </c>
      <c r="C60" s="213" t="s">
        <v>181</v>
      </c>
      <c r="D60" s="212" t="s">
        <v>215</v>
      </c>
      <c r="E60" s="211" t="s">
        <v>172</v>
      </c>
      <c r="F60" s="240">
        <v>11.18</v>
      </c>
      <c r="G60" s="240">
        <v>13.42</v>
      </c>
    </row>
    <row r="61" spans="1:7" ht="39.75" customHeight="1" thickBot="1">
      <c r="A61" s="213" t="s">
        <v>176</v>
      </c>
      <c r="B61" s="213" t="s">
        <v>169</v>
      </c>
      <c r="C61" s="213" t="s">
        <v>183</v>
      </c>
      <c r="D61" s="212" t="s">
        <v>216</v>
      </c>
      <c r="E61" s="211" t="s">
        <v>172</v>
      </c>
      <c r="F61" s="240">
        <v>8.5500000000000007</v>
      </c>
      <c r="G61" s="240">
        <v>10.26</v>
      </c>
    </row>
    <row r="62" spans="1:7" ht="34.5" customHeight="1" thickBot="1">
      <c r="A62" s="213" t="s">
        <v>176</v>
      </c>
      <c r="B62" s="213" t="s">
        <v>169</v>
      </c>
      <c r="C62" s="213" t="s">
        <v>184</v>
      </c>
      <c r="D62" s="212" t="s">
        <v>217</v>
      </c>
      <c r="E62" s="211" t="s">
        <v>172</v>
      </c>
      <c r="F62" s="240">
        <v>14.27</v>
      </c>
      <c r="G62" s="240">
        <v>17.12</v>
      </c>
    </row>
    <row r="63" spans="1:7" ht="70.5" customHeight="1" thickBot="1">
      <c r="A63" s="213" t="s">
        <v>176</v>
      </c>
      <c r="B63" s="213" t="s">
        <v>173</v>
      </c>
      <c r="C63" s="213"/>
      <c r="D63" s="210" t="s">
        <v>218</v>
      </c>
      <c r="E63" s="211"/>
      <c r="F63" s="240"/>
      <c r="G63" s="240"/>
    </row>
    <row r="64" spans="1:7" ht="47.25" customHeight="1" thickBot="1">
      <c r="A64" s="213" t="s">
        <v>176</v>
      </c>
      <c r="B64" s="213" t="s">
        <v>173</v>
      </c>
      <c r="C64" s="213" t="s">
        <v>169</v>
      </c>
      <c r="D64" s="212" t="s">
        <v>55</v>
      </c>
      <c r="E64" s="211" t="s">
        <v>172</v>
      </c>
      <c r="F64" s="240">
        <v>10.74</v>
      </c>
      <c r="G64" s="240">
        <v>12.89</v>
      </c>
    </row>
    <row r="65" spans="1:7" ht="48.75" customHeight="1" thickBot="1">
      <c r="A65" s="213" t="s">
        <v>176</v>
      </c>
      <c r="B65" s="213" t="s">
        <v>173</v>
      </c>
      <c r="C65" s="213" t="s">
        <v>173</v>
      </c>
      <c r="D65" s="212" t="s">
        <v>219</v>
      </c>
      <c r="E65" s="211" t="s">
        <v>172</v>
      </c>
      <c r="F65" s="240">
        <v>14.27</v>
      </c>
      <c r="G65" s="240">
        <v>17.12</v>
      </c>
    </row>
    <row r="66" spans="1:7" ht="76.5" customHeight="1" thickBot="1">
      <c r="A66" s="213" t="s">
        <v>176</v>
      </c>
      <c r="B66" s="213" t="s">
        <v>173</v>
      </c>
      <c r="C66" s="213" t="s">
        <v>176</v>
      </c>
      <c r="D66" s="212" t="s">
        <v>220</v>
      </c>
      <c r="E66" s="211" t="s">
        <v>178</v>
      </c>
      <c r="F66" s="240">
        <v>6.13</v>
      </c>
      <c r="G66" s="240">
        <v>7.36</v>
      </c>
    </row>
    <row r="67" spans="1:7" ht="73.5" customHeight="1" thickBot="1">
      <c r="A67" s="213" t="s">
        <v>176</v>
      </c>
      <c r="B67" s="213" t="s">
        <v>176</v>
      </c>
      <c r="C67" s="213"/>
      <c r="D67" s="212" t="s">
        <v>221</v>
      </c>
      <c r="E67" s="211" t="s">
        <v>178</v>
      </c>
      <c r="F67" s="240">
        <v>5.73</v>
      </c>
      <c r="G67" s="240">
        <v>6.88</v>
      </c>
    </row>
    <row r="68" spans="1:7" ht="0.75" hidden="1" customHeight="1" thickBot="1">
      <c r="A68" s="213" t="s">
        <v>176</v>
      </c>
      <c r="B68" s="213" t="s">
        <v>181</v>
      </c>
      <c r="C68" s="213"/>
      <c r="D68" s="212" t="s">
        <v>222</v>
      </c>
      <c r="E68" s="211" t="s">
        <v>223</v>
      </c>
      <c r="F68" s="240"/>
      <c r="G68" s="240"/>
    </row>
    <row r="69" spans="1:7" ht="39.75" customHeight="1" thickBot="1">
      <c r="A69" s="213" t="s">
        <v>176</v>
      </c>
      <c r="B69" s="213" t="s">
        <v>195</v>
      </c>
      <c r="C69" s="213"/>
      <c r="D69" s="212" t="s">
        <v>152</v>
      </c>
      <c r="E69" s="211" t="s">
        <v>172</v>
      </c>
      <c r="F69" s="240">
        <v>0.38</v>
      </c>
      <c r="G69" s="240">
        <v>0.46</v>
      </c>
    </row>
    <row r="70" spans="1:7" ht="33" customHeight="1" thickBot="1">
      <c r="A70" s="213" t="s">
        <v>176</v>
      </c>
      <c r="B70" s="213" t="s">
        <v>197</v>
      </c>
      <c r="C70" s="213"/>
      <c r="D70" s="212" t="s">
        <v>149</v>
      </c>
      <c r="E70" s="211" t="s">
        <v>172</v>
      </c>
      <c r="F70" s="240">
        <v>8.5500000000000007</v>
      </c>
      <c r="G70" s="240">
        <v>10.26</v>
      </c>
    </row>
    <row r="71" spans="1:7" ht="46.5" hidden="1" customHeight="1" thickBot="1">
      <c r="A71" s="209" t="s">
        <v>176</v>
      </c>
      <c r="B71" s="209" t="s">
        <v>199</v>
      </c>
      <c r="C71" s="209"/>
      <c r="D71" s="212" t="s">
        <v>231</v>
      </c>
      <c r="E71" s="211" t="s">
        <v>172</v>
      </c>
      <c r="F71" s="129">
        <f>'Справочная информация'!I79</f>
        <v>0</v>
      </c>
      <c r="G71" s="129">
        <f>'Справочная информация'!J79</f>
        <v>0</v>
      </c>
    </row>
    <row r="72" spans="1:7" ht="15.75">
      <c r="A72" s="140"/>
      <c r="B72" s="141"/>
      <c r="C72" s="141"/>
      <c r="D72" s="143"/>
      <c r="E72" s="144"/>
      <c r="F72" s="135"/>
      <c r="G72" s="135"/>
    </row>
    <row r="73" spans="1:7">
      <c r="A73" s="256" t="s">
        <v>232</v>
      </c>
      <c r="B73" s="346"/>
      <c r="C73" s="346"/>
      <c r="D73" s="346"/>
      <c r="E73" s="346"/>
      <c r="F73" s="346"/>
      <c r="G73" s="346"/>
    </row>
    <row r="74" spans="1:7" ht="38.25" customHeight="1">
      <c r="A74" s="346"/>
      <c r="B74" s="346"/>
      <c r="C74" s="346"/>
      <c r="D74" s="346"/>
      <c r="E74" s="346"/>
      <c r="F74" s="346"/>
      <c r="G74" s="346"/>
    </row>
    <row r="75" spans="1:7">
      <c r="A75" s="346"/>
      <c r="B75" s="346"/>
      <c r="C75" s="346"/>
      <c r="D75" s="346"/>
      <c r="E75" s="346"/>
      <c r="F75" s="346"/>
      <c r="G75" s="346"/>
    </row>
    <row r="76" spans="1:7" ht="34.5" customHeight="1">
      <c r="A76" s="346"/>
      <c r="B76" s="346"/>
      <c r="C76" s="346"/>
      <c r="D76" s="346"/>
      <c r="E76" s="346"/>
      <c r="F76" s="346"/>
      <c r="G76" s="346"/>
    </row>
    <row r="77" spans="1:7" ht="15.75">
      <c r="A77" s="256"/>
      <c r="B77" s="256"/>
      <c r="C77" s="256"/>
      <c r="D77" s="256"/>
      <c r="E77" s="214"/>
      <c r="G77" s="144"/>
    </row>
    <row r="78" spans="1:7" ht="15.75">
      <c r="A78" s="151"/>
      <c r="B78" s="151"/>
      <c r="C78" s="151"/>
      <c r="D78" s="151"/>
      <c r="E78" s="215"/>
      <c r="F78" s="144"/>
    </row>
    <row r="79" spans="1:7" ht="15.75">
      <c r="A79" s="256"/>
      <c r="B79" s="256"/>
      <c r="C79" s="256"/>
      <c r="D79" s="256"/>
      <c r="E79" s="154"/>
      <c r="F79" s="348"/>
      <c r="G79" s="348"/>
    </row>
    <row r="80" spans="1:7" ht="15.75">
      <c r="A80" s="151"/>
      <c r="B80" s="151"/>
      <c r="C80" s="151"/>
      <c r="D80" s="151"/>
      <c r="E80" s="214"/>
      <c r="G80" s="144"/>
    </row>
    <row r="81" spans="5:5">
      <c r="E81" s="61"/>
    </row>
  </sheetData>
  <mergeCells count="14">
    <mergeCell ref="E1:G3"/>
    <mergeCell ref="A6:G6"/>
    <mergeCell ref="A7:G7"/>
    <mergeCell ref="A8:G8"/>
    <mergeCell ref="A79:D79"/>
    <mergeCell ref="F79:G79"/>
    <mergeCell ref="A14:C14"/>
    <mergeCell ref="A77:D77"/>
    <mergeCell ref="A73:G76"/>
    <mergeCell ref="A11:C13"/>
    <mergeCell ref="D11:D13"/>
    <mergeCell ref="E11:E13"/>
    <mergeCell ref="F11:G11"/>
    <mergeCell ref="F12:G1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sqref="A1:H86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37"/>
  <sheetViews>
    <sheetView topLeftCell="A18" zoomScaleNormal="100" workbookViewId="0">
      <selection activeCell="E37" sqref="E37"/>
    </sheetView>
  </sheetViews>
  <sheetFormatPr defaultRowHeight="15.75"/>
  <cols>
    <col min="1" max="1" width="6.140625" style="27" customWidth="1"/>
    <col min="2" max="2" width="59" style="38" customWidth="1"/>
    <col min="3" max="3" width="29.7109375" style="29" customWidth="1"/>
    <col min="4" max="4" width="9.140625" style="29"/>
    <col min="5" max="5" width="16.5703125" style="29" customWidth="1"/>
    <col min="6" max="16384" width="9.140625" style="29"/>
  </cols>
  <sheetData>
    <row r="1" spans="1:7" ht="20.25" customHeight="1">
      <c r="C1" s="28" t="s">
        <v>296</v>
      </c>
    </row>
    <row r="2" spans="1:7" ht="11.25" customHeight="1">
      <c r="A2" s="160"/>
      <c r="B2" s="161"/>
      <c r="C2" s="160"/>
    </row>
    <row r="3" spans="1:7" ht="33" hidden="1" customHeight="1">
      <c r="A3" s="163"/>
      <c r="B3" s="162"/>
      <c r="C3" s="164"/>
    </row>
    <row r="4" spans="1:7" ht="20.25" hidden="1" customHeight="1">
      <c r="A4" s="269"/>
      <c r="B4" s="270"/>
      <c r="C4" s="30"/>
    </row>
    <row r="5" spans="1:7" hidden="1">
      <c r="B5" s="28"/>
      <c r="C5" s="31"/>
    </row>
    <row r="6" spans="1:7" s="32" customFormat="1" ht="19.5" customHeight="1">
      <c r="A6" s="271" t="s">
        <v>7</v>
      </c>
      <c r="B6" s="271"/>
      <c r="C6" s="271"/>
    </row>
    <row r="7" spans="1:7" ht="18" customHeight="1">
      <c r="A7" s="272" t="s">
        <v>310</v>
      </c>
      <c r="B7" s="272"/>
      <c r="C7" s="272"/>
    </row>
    <row r="8" spans="1:7" ht="27.75" customHeight="1">
      <c r="A8" s="33" t="s">
        <v>0</v>
      </c>
      <c r="B8" s="34" t="s">
        <v>1</v>
      </c>
      <c r="C8" s="33" t="s">
        <v>20</v>
      </c>
    </row>
    <row r="9" spans="1:7" ht="31.5">
      <c r="A9" s="35">
        <v>1</v>
      </c>
      <c r="B9" s="36" t="s">
        <v>331</v>
      </c>
      <c r="C9" s="244">
        <v>36819.769999999997</v>
      </c>
      <c r="E9" s="221"/>
    </row>
    <row r="10" spans="1:7">
      <c r="A10" s="35">
        <v>2</v>
      </c>
      <c r="B10" s="36" t="s">
        <v>21</v>
      </c>
      <c r="C10" s="245">
        <f>C11+C12+C13</f>
        <v>13100.48</v>
      </c>
    </row>
    <row r="11" spans="1:7" ht="47.25">
      <c r="A11" s="37" t="s">
        <v>22</v>
      </c>
      <c r="B11" s="36" t="s">
        <v>332</v>
      </c>
      <c r="C11" s="245">
        <f>C9*34%</f>
        <v>12518.72</v>
      </c>
    </row>
    <row r="12" spans="1:7" ht="47.25">
      <c r="A12" s="37" t="s">
        <v>23</v>
      </c>
      <c r="B12" s="36" t="s">
        <v>333</v>
      </c>
      <c r="C12" s="245">
        <f>C9*0.08%</f>
        <v>29.46</v>
      </c>
      <c r="E12" s="233"/>
    </row>
    <row r="13" spans="1:7" ht="31.5">
      <c r="A13" s="37" t="s">
        <v>240</v>
      </c>
      <c r="B13" s="36" t="s">
        <v>334</v>
      </c>
      <c r="C13" s="245">
        <f>C9*1.5%</f>
        <v>552.29999999999995</v>
      </c>
    </row>
    <row r="14" spans="1:7">
      <c r="A14" s="35">
        <v>3</v>
      </c>
      <c r="B14" s="36" t="s">
        <v>335</v>
      </c>
      <c r="C14" s="244">
        <v>1296.6400000000001</v>
      </c>
    </row>
    <row r="15" spans="1:7" ht="31.5">
      <c r="A15" s="35">
        <v>4</v>
      </c>
      <c r="B15" s="36" t="s">
        <v>24</v>
      </c>
      <c r="C15" s="244"/>
    </row>
    <row r="16" spans="1:7">
      <c r="A16" s="35">
        <v>5</v>
      </c>
      <c r="B16" s="36" t="s">
        <v>25</v>
      </c>
      <c r="C16" s="244">
        <f>C18+C19+C20</f>
        <v>11655.99</v>
      </c>
      <c r="D16" s="165"/>
      <c r="E16" s="165"/>
      <c r="F16" s="165"/>
      <c r="G16" s="32"/>
    </row>
    <row r="17" spans="1:6">
      <c r="A17" s="35"/>
      <c r="B17" s="36" t="s">
        <v>26</v>
      </c>
      <c r="C17" s="244"/>
    </row>
    <row r="18" spans="1:6">
      <c r="A18" s="37" t="s">
        <v>27</v>
      </c>
      <c r="B18" s="36" t="s">
        <v>336</v>
      </c>
      <c r="C18" s="244">
        <v>3717.34</v>
      </c>
      <c r="E18" s="114"/>
      <c r="F18" s="114"/>
    </row>
    <row r="19" spans="1:6">
      <c r="A19" s="37" t="s">
        <v>28</v>
      </c>
      <c r="B19" s="36" t="s">
        <v>337</v>
      </c>
      <c r="C19" s="244">
        <v>6830.82</v>
      </c>
      <c r="E19" s="114"/>
      <c r="F19" s="114"/>
    </row>
    <row r="20" spans="1:6">
      <c r="A20" s="37" t="s">
        <v>29</v>
      </c>
      <c r="B20" s="36" t="s">
        <v>338</v>
      </c>
      <c r="C20" s="244">
        <v>1107.83</v>
      </c>
      <c r="E20" s="114"/>
      <c r="F20" s="114"/>
    </row>
    <row r="21" spans="1:6" ht="31.5">
      <c r="A21" s="35">
        <v>6</v>
      </c>
      <c r="B21" s="36" t="s">
        <v>339</v>
      </c>
      <c r="C21" s="244">
        <v>1460.12</v>
      </c>
      <c r="E21" s="114"/>
      <c r="F21" s="114"/>
    </row>
    <row r="22" spans="1:6">
      <c r="A22" s="35">
        <v>7</v>
      </c>
      <c r="B22" s="36" t="s">
        <v>30</v>
      </c>
      <c r="C22" s="244">
        <v>9412.82</v>
      </c>
      <c r="E22" s="114"/>
      <c r="F22" s="114"/>
    </row>
    <row r="23" spans="1:6">
      <c r="A23" s="35">
        <v>8</v>
      </c>
      <c r="B23" s="36" t="s">
        <v>340</v>
      </c>
      <c r="C23" s="244">
        <v>7802.29</v>
      </c>
    </row>
    <row r="24" spans="1:6">
      <c r="A24" s="35">
        <v>9</v>
      </c>
      <c r="B24" s="36" t="s">
        <v>341</v>
      </c>
      <c r="C24" s="246"/>
    </row>
    <row r="25" spans="1:6" ht="18.75" customHeight="1">
      <c r="A25" s="35">
        <v>10</v>
      </c>
      <c r="B25" s="36" t="s">
        <v>342</v>
      </c>
      <c r="C25" s="244">
        <v>6513.06</v>
      </c>
    </row>
    <row r="26" spans="1:6" ht="31.5">
      <c r="A26" s="35">
        <v>11</v>
      </c>
      <c r="B26" s="36" t="s">
        <v>343</v>
      </c>
      <c r="C26" s="244">
        <v>25961.599999999999</v>
      </c>
      <c r="E26" s="114"/>
      <c r="F26" s="114"/>
    </row>
    <row r="27" spans="1:6" ht="31.5">
      <c r="A27" s="35">
        <v>12</v>
      </c>
      <c r="B27" s="36" t="s">
        <v>344</v>
      </c>
      <c r="C27" s="244">
        <v>13066.38</v>
      </c>
      <c r="E27" s="114"/>
      <c r="F27" s="114"/>
    </row>
    <row r="28" spans="1:6">
      <c r="A28" s="35">
        <v>13</v>
      </c>
      <c r="B28" s="36" t="s">
        <v>345</v>
      </c>
      <c r="C28" s="244">
        <v>20170.740000000002</v>
      </c>
    </row>
    <row r="29" spans="1:6" ht="33.75" customHeight="1">
      <c r="A29" s="35">
        <v>14</v>
      </c>
      <c r="B29" s="36" t="s">
        <v>346</v>
      </c>
      <c r="C29" s="244">
        <v>1006.97</v>
      </c>
    </row>
    <row r="30" spans="1:6">
      <c r="A30" s="35">
        <v>15</v>
      </c>
      <c r="B30" s="36" t="s">
        <v>347</v>
      </c>
      <c r="C30" s="244">
        <v>11721.82</v>
      </c>
      <c r="E30" s="114"/>
      <c r="F30" s="114"/>
    </row>
    <row r="31" spans="1:6">
      <c r="A31" s="35">
        <v>16</v>
      </c>
      <c r="B31" s="36" t="s">
        <v>348</v>
      </c>
      <c r="C31" s="244">
        <v>4378.57</v>
      </c>
    </row>
    <row r="32" spans="1:6">
      <c r="A32" s="35">
        <v>17</v>
      </c>
      <c r="B32" s="36" t="s">
        <v>4</v>
      </c>
      <c r="C32" s="244">
        <f>C9+C10+C14+C16+C21+C22+C23+C25+C26+C27+C28+C29+C30+C31</f>
        <v>164367.25</v>
      </c>
    </row>
    <row r="33" spans="1:6">
      <c r="A33" s="35">
        <v>18</v>
      </c>
      <c r="B33" s="36" t="s">
        <v>349</v>
      </c>
      <c r="C33" s="244">
        <f>'Расчет доп. ФОТ '!C6</f>
        <v>95543.55</v>
      </c>
      <c r="E33" s="114"/>
      <c r="F33" s="114"/>
    </row>
    <row r="34" spans="1:6">
      <c r="A34" s="35">
        <v>19</v>
      </c>
      <c r="B34" s="36" t="s">
        <v>350</v>
      </c>
      <c r="C34" s="244">
        <f>C32/C33*100</f>
        <v>172.03</v>
      </c>
      <c r="E34" s="114"/>
      <c r="F34" s="114"/>
    </row>
    <row r="35" spans="1:6">
      <c r="A35" s="39"/>
      <c r="C35" s="40"/>
    </row>
    <row r="36" spans="1:6">
      <c r="A36" s="39"/>
      <c r="C36" s="40"/>
    </row>
    <row r="37" spans="1:6" ht="25.5" customHeight="1">
      <c r="A37" s="39"/>
      <c r="C37" s="40"/>
    </row>
  </sheetData>
  <mergeCells count="3">
    <mergeCell ref="A4:B4"/>
    <mergeCell ref="A6:C6"/>
    <mergeCell ref="A7:C7"/>
  </mergeCells>
  <phoneticPr fontId="0" type="noConversion"/>
  <pageMargins left="0.78740157480314965" right="0.78740157480314965" top="0.59055118110236227" bottom="0.39370078740157483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7"/>
  <sheetViews>
    <sheetView workbookViewId="0">
      <selection activeCell="C6" sqref="C6"/>
    </sheetView>
  </sheetViews>
  <sheetFormatPr defaultRowHeight="15.75"/>
  <cols>
    <col min="1" max="1" width="7.42578125" style="2" customWidth="1"/>
    <col min="2" max="2" width="53.28515625" style="2" customWidth="1"/>
    <col min="3" max="3" width="17.5703125" style="2" customWidth="1"/>
    <col min="4" max="16384" width="9.140625" style="2"/>
  </cols>
  <sheetData>
    <row r="1" spans="1:3" s="25" customFormat="1" ht="24" customHeight="1">
      <c r="A1" s="273" t="s">
        <v>313</v>
      </c>
      <c r="B1" s="273"/>
      <c r="C1" s="273"/>
    </row>
    <row r="2" spans="1:3" s="25" customFormat="1" ht="52.5" customHeight="1">
      <c r="A2" s="274" t="s">
        <v>305</v>
      </c>
      <c r="B2" s="274"/>
      <c r="C2" s="274"/>
    </row>
    <row r="3" spans="1:3" s="25" customFormat="1" ht="17.25" customHeight="1">
      <c r="A3" s="92"/>
      <c r="B3" s="92"/>
      <c r="C3" s="92"/>
    </row>
    <row r="4" spans="1:3" s="25" customFormat="1" ht="43.5" customHeight="1">
      <c r="A4" s="24" t="s">
        <v>0</v>
      </c>
      <c r="B4" s="24" t="s">
        <v>37</v>
      </c>
      <c r="C4" s="7" t="s">
        <v>280</v>
      </c>
    </row>
    <row r="5" spans="1:3" ht="145.5" customHeight="1">
      <c r="A5" s="42">
        <v>1</v>
      </c>
      <c r="B5" s="96" t="s">
        <v>271</v>
      </c>
      <c r="C5" s="222">
        <v>10505.43</v>
      </c>
    </row>
    <row r="6" spans="1:3" ht="27" customHeight="1">
      <c r="A6" s="5">
        <v>2</v>
      </c>
      <c r="B6" s="6" t="s">
        <v>270</v>
      </c>
      <c r="C6" s="222">
        <v>95543.55</v>
      </c>
    </row>
    <row r="7" spans="1:3" ht="39.75" customHeight="1">
      <c r="A7" s="5">
        <v>3</v>
      </c>
      <c r="B7" s="6" t="s">
        <v>38</v>
      </c>
      <c r="C7" s="190">
        <f>+ROUND(C5/C6*100,1)</f>
        <v>11</v>
      </c>
    </row>
  </sheetData>
  <mergeCells count="2">
    <mergeCell ref="A1:C1"/>
    <mergeCell ref="A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L20"/>
  <sheetViews>
    <sheetView topLeftCell="A5" workbookViewId="0">
      <selection activeCell="F14" sqref="F14"/>
    </sheetView>
  </sheetViews>
  <sheetFormatPr defaultRowHeight="15.75"/>
  <cols>
    <col min="1" max="1" width="5.28515625" style="3" customWidth="1"/>
    <col min="2" max="2" width="18.140625" style="4" customWidth="1"/>
    <col min="3" max="3" width="12.42578125" style="2" customWidth="1"/>
    <col min="4" max="4" width="10.85546875" style="2" customWidth="1"/>
    <col min="5" max="5" width="15.140625" style="2" customWidth="1"/>
    <col min="6" max="6" width="11.42578125" style="2" customWidth="1"/>
    <col min="7" max="8" width="9.140625" style="2"/>
    <col min="9" max="9" width="14.140625" style="2" customWidth="1"/>
    <col min="10" max="10" width="9.140625" style="2"/>
    <col min="11" max="11" width="17.140625" style="2" customWidth="1"/>
    <col min="12" max="12" width="12" style="2" customWidth="1"/>
    <col min="13" max="16384" width="9.140625" style="2"/>
  </cols>
  <sheetData>
    <row r="1" spans="1:12" ht="0.75" customHeight="1">
      <c r="C1" s="70"/>
      <c r="D1"/>
      <c r="E1"/>
      <c r="F1"/>
      <c r="G1"/>
      <c r="H1"/>
    </row>
    <row r="2" spans="1:12" hidden="1">
      <c r="C2" s="70"/>
      <c r="D2"/>
      <c r="E2"/>
      <c r="F2"/>
      <c r="G2"/>
      <c r="H2"/>
    </row>
    <row r="3" spans="1:12" hidden="1">
      <c r="C3" s="70"/>
      <c r="D3"/>
      <c r="E3"/>
      <c r="F3"/>
      <c r="G3"/>
      <c r="H3"/>
    </row>
    <row r="4" spans="1:12" hidden="1">
      <c r="C4" s="70"/>
      <c r="D4"/>
      <c r="E4"/>
      <c r="F4"/>
      <c r="G4"/>
      <c r="H4"/>
    </row>
    <row r="5" spans="1:12">
      <c r="C5" s="70"/>
      <c r="D5"/>
      <c r="E5" s="279" t="s">
        <v>326</v>
      </c>
      <c r="F5" s="280"/>
      <c r="G5" s="280"/>
      <c r="H5"/>
    </row>
    <row r="6" spans="1:12" ht="29.25" customHeight="1">
      <c r="A6" s="281" t="s">
        <v>306</v>
      </c>
      <c r="B6" s="281"/>
      <c r="C6" s="281"/>
      <c r="D6" s="281"/>
      <c r="E6" s="281"/>
      <c r="F6" s="281"/>
      <c r="G6" s="281"/>
    </row>
    <row r="7" spans="1:12" s="11" customFormat="1" ht="25.5" customHeight="1">
      <c r="A7" s="282" t="s">
        <v>7</v>
      </c>
      <c r="B7" s="282"/>
      <c r="C7" s="282"/>
      <c r="D7" s="282"/>
      <c r="E7" s="282"/>
      <c r="F7" s="282"/>
      <c r="G7" s="282"/>
    </row>
    <row r="8" spans="1:12" s="11" customFormat="1" ht="18.75" customHeight="1">
      <c r="A8" s="283" t="s">
        <v>8</v>
      </c>
      <c r="B8" s="283"/>
      <c r="C8" s="283"/>
      <c r="D8" s="283"/>
      <c r="E8" s="283"/>
      <c r="F8" s="283"/>
      <c r="G8" s="283"/>
    </row>
    <row r="9" spans="1:12" s="11" customFormat="1" ht="26.25" customHeight="1">
      <c r="A9" s="283" t="s">
        <v>314</v>
      </c>
      <c r="B9" s="283"/>
      <c r="C9" s="283"/>
      <c r="D9" s="283"/>
      <c r="E9" s="283"/>
      <c r="F9" s="283"/>
      <c r="G9" s="283"/>
      <c r="J9" s="2"/>
      <c r="K9" s="18"/>
    </row>
    <row r="10" spans="1:12" ht="48" customHeight="1">
      <c r="A10" s="276" t="s">
        <v>0</v>
      </c>
      <c r="B10" s="276" t="s">
        <v>9</v>
      </c>
      <c r="C10" s="276" t="s">
        <v>10</v>
      </c>
      <c r="D10" s="278" t="s">
        <v>11</v>
      </c>
      <c r="E10" s="278"/>
      <c r="F10" s="278"/>
      <c r="G10" s="276" t="s">
        <v>14</v>
      </c>
    </row>
    <row r="11" spans="1:12" ht="145.5" customHeight="1">
      <c r="A11" s="277"/>
      <c r="B11" s="277"/>
      <c r="C11" s="277"/>
      <c r="D11" s="7" t="s">
        <v>12</v>
      </c>
      <c r="E11" s="13" t="s">
        <v>13</v>
      </c>
      <c r="F11" s="243" t="s">
        <v>351</v>
      </c>
      <c r="G11" s="277"/>
      <c r="I11" s="9" t="s">
        <v>31</v>
      </c>
      <c r="K11" s="9" t="s">
        <v>31</v>
      </c>
    </row>
    <row r="12" spans="1:12" s="3" customFormat="1" ht="33.75" customHeight="1">
      <c r="A12" s="90">
        <v>1</v>
      </c>
      <c r="B12" s="91">
        <v>2</v>
      </c>
      <c r="C12" s="90">
        <v>3</v>
      </c>
      <c r="D12" s="90">
        <v>4</v>
      </c>
      <c r="E12" s="90">
        <v>5</v>
      </c>
      <c r="F12" s="90">
        <v>6</v>
      </c>
      <c r="G12" s="90">
        <v>7</v>
      </c>
      <c r="I12" s="19" t="s">
        <v>33</v>
      </c>
      <c r="J12" s="13" t="s">
        <v>32</v>
      </c>
      <c r="K12" s="1" t="s">
        <v>34</v>
      </c>
      <c r="L12" s="1" t="s">
        <v>35</v>
      </c>
    </row>
    <row r="13" spans="1:12" s="3" customFormat="1" ht="33.75" customHeight="1">
      <c r="A13" s="5">
        <v>1</v>
      </c>
      <c r="B13" s="1" t="s">
        <v>56</v>
      </c>
      <c r="C13" s="5">
        <v>146.9</v>
      </c>
      <c r="D13" s="21">
        <v>259.47000000000003</v>
      </c>
      <c r="E13" s="17"/>
      <c r="F13" s="21">
        <f>+D13*0.2</f>
        <v>51.89</v>
      </c>
      <c r="G13" s="223">
        <f>L13</f>
        <v>0.04</v>
      </c>
      <c r="I13" s="21">
        <f>SUM(D13:F13)</f>
        <v>311.36</v>
      </c>
      <c r="J13" s="5">
        <f>C13</f>
        <v>146.9</v>
      </c>
      <c r="K13" s="21">
        <f>+I13/J13</f>
        <v>2.12</v>
      </c>
      <c r="L13" s="20">
        <f>+K13/60</f>
        <v>0.04</v>
      </c>
    </row>
    <row r="14" spans="1:12" s="3" customFormat="1" ht="35.25" customHeight="1">
      <c r="A14" s="5">
        <v>2</v>
      </c>
      <c r="B14" s="1" t="s">
        <v>77</v>
      </c>
      <c r="C14" s="5">
        <v>146.9</v>
      </c>
      <c r="D14" s="21">
        <v>326.05</v>
      </c>
      <c r="E14" s="21">
        <v>23.64</v>
      </c>
      <c r="F14" s="21">
        <f>+D14*0.2</f>
        <v>65.209999999999994</v>
      </c>
      <c r="G14" s="223">
        <f>L14</f>
        <v>0.05</v>
      </c>
      <c r="I14" s="21">
        <f>SUM(D14:F14)</f>
        <v>414.9</v>
      </c>
      <c r="J14" s="5">
        <f>C14</f>
        <v>146.9</v>
      </c>
      <c r="K14" s="21">
        <f>+I14/J14</f>
        <v>2.82</v>
      </c>
      <c r="L14" s="20">
        <f>+K14/60</f>
        <v>0.05</v>
      </c>
    </row>
    <row r="15" spans="1:12" s="3" customFormat="1">
      <c r="A15" s="10"/>
      <c r="B15" s="14"/>
      <c r="C15" s="10"/>
      <c r="D15" s="10"/>
      <c r="E15" s="10"/>
      <c r="F15" s="10"/>
      <c r="G15" s="10"/>
    </row>
    <row r="16" spans="1:12" s="3" customFormat="1">
      <c r="A16" s="10"/>
      <c r="B16" s="14"/>
      <c r="C16" s="10"/>
      <c r="D16" s="10"/>
      <c r="E16" s="10"/>
      <c r="F16" s="10"/>
      <c r="G16" s="10"/>
    </row>
    <row r="17" spans="1:7" s="3" customFormat="1">
      <c r="A17" s="10"/>
      <c r="B17" s="14"/>
      <c r="C17" s="10"/>
      <c r="D17" s="10"/>
      <c r="E17" s="10"/>
      <c r="F17" s="10"/>
      <c r="G17" s="10"/>
    </row>
    <row r="18" spans="1:7">
      <c r="A18" s="8"/>
      <c r="F18" s="275"/>
      <c r="G18" s="275"/>
    </row>
    <row r="19" spans="1:7" ht="25.5" customHeight="1">
      <c r="A19" s="8"/>
      <c r="F19" s="275"/>
      <c r="G19" s="275"/>
    </row>
    <row r="20" spans="1:7">
      <c r="A20" s="103"/>
      <c r="B20" s="101"/>
    </row>
  </sheetData>
  <mergeCells count="12">
    <mergeCell ref="E5:G5"/>
    <mergeCell ref="A6:G6"/>
    <mergeCell ref="F18:G18"/>
    <mergeCell ref="A7:G7"/>
    <mergeCell ref="A8:G8"/>
    <mergeCell ref="A9:G9"/>
    <mergeCell ref="F19:G19"/>
    <mergeCell ref="G10:G11"/>
    <mergeCell ref="D10:F10"/>
    <mergeCell ref="A10:A11"/>
    <mergeCell ref="B10:B11"/>
    <mergeCell ref="C10:C1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F29" sqref="F29"/>
    </sheetView>
  </sheetViews>
  <sheetFormatPr defaultRowHeight="15.75"/>
  <cols>
    <col min="1" max="1" width="6.140625" style="3" customWidth="1"/>
    <col min="2" max="2" width="28.7109375" style="4" customWidth="1"/>
    <col min="3" max="3" width="8.7109375" style="2" customWidth="1"/>
    <col min="4" max="4" width="17.140625" style="2" customWidth="1"/>
    <col min="5" max="5" width="14.140625" style="2" customWidth="1"/>
    <col min="6" max="6" width="11.85546875" style="2" customWidth="1"/>
    <col min="7" max="16384" width="9.140625" style="2"/>
  </cols>
  <sheetData>
    <row r="1" spans="1:10">
      <c r="E1" s="284" t="s">
        <v>316</v>
      </c>
      <c r="F1" s="284"/>
    </row>
    <row r="2" spans="1:10" ht="21.75" customHeight="1">
      <c r="B2" s="285" t="s">
        <v>306</v>
      </c>
      <c r="C2" s="286"/>
      <c r="D2" s="286"/>
      <c r="E2" s="286"/>
      <c r="F2" s="286"/>
      <c r="G2"/>
    </row>
    <row r="3" spans="1:10" s="11" customFormat="1" ht="15" customHeight="1">
      <c r="A3" s="282" t="s">
        <v>7</v>
      </c>
      <c r="B3" s="282"/>
      <c r="C3" s="282"/>
      <c r="D3" s="282"/>
      <c r="E3" s="282"/>
      <c r="F3" s="282"/>
    </row>
    <row r="4" spans="1:10" s="11" customFormat="1" ht="18" customHeight="1">
      <c r="A4" s="283" t="s">
        <v>15</v>
      </c>
      <c r="B4" s="283"/>
      <c r="C4" s="283"/>
      <c r="D4" s="283"/>
      <c r="E4" s="283"/>
      <c r="F4" s="283"/>
    </row>
    <row r="5" spans="1:10" s="11" customFormat="1" ht="26.25" customHeight="1">
      <c r="A5" s="283" t="s">
        <v>315</v>
      </c>
      <c r="B5" s="283"/>
      <c r="C5" s="283"/>
      <c r="D5" s="283"/>
      <c r="E5" s="283"/>
      <c r="F5" s="283"/>
      <c r="G5" s="22"/>
    </row>
    <row r="6" spans="1:10" ht="21" customHeight="1">
      <c r="A6" s="299" t="s">
        <v>150</v>
      </c>
      <c r="B6" s="299"/>
      <c r="C6" s="299"/>
      <c r="D6" s="299"/>
      <c r="E6" s="299"/>
      <c r="F6" s="299"/>
      <c r="G6" s="23"/>
    </row>
    <row r="7" spans="1:10" ht="92.25" customHeight="1">
      <c r="A7" s="12" t="s">
        <v>0</v>
      </c>
      <c r="B7" s="238" t="s">
        <v>317</v>
      </c>
      <c r="C7" s="12" t="s">
        <v>16</v>
      </c>
      <c r="D7" s="239" t="s">
        <v>318</v>
      </c>
      <c r="E7" s="15" t="s">
        <v>17</v>
      </c>
      <c r="F7" s="15" t="s">
        <v>18</v>
      </c>
    </row>
    <row r="8" spans="1:10" s="3" customFormat="1">
      <c r="A8" s="5">
        <v>1</v>
      </c>
      <c r="B8" s="1">
        <v>2</v>
      </c>
      <c r="C8" s="5">
        <v>3</v>
      </c>
      <c r="D8" s="5">
        <v>4</v>
      </c>
      <c r="E8" s="5">
        <v>5</v>
      </c>
      <c r="F8" s="5">
        <v>6</v>
      </c>
      <c r="G8"/>
      <c r="H8"/>
      <c r="I8"/>
    </row>
    <row r="9" spans="1:10" s="3" customFormat="1" ht="25.5" customHeight="1">
      <c r="A9" s="71" t="s">
        <v>111</v>
      </c>
      <c r="B9" s="287" t="s">
        <v>112</v>
      </c>
      <c r="C9" s="288"/>
      <c r="D9" s="288"/>
      <c r="E9" s="288"/>
      <c r="F9" s="289"/>
      <c r="G9" s="113"/>
      <c r="H9"/>
      <c r="I9"/>
    </row>
    <row r="10" spans="1:10" s="3" customFormat="1">
      <c r="A10" s="181" t="s">
        <v>113</v>
      </c>
      <c r="B10" s="72" t="s">
        <v>114</v>
      </c>
      <c r="C10" s="76">
        <v>42</v>
      </c>
      <c r="D10" s="1" t="s">
        <v>56</v>
      </c>
      <c r="E10" s="21">
        <f>'з.пл. за 1 мин. '!G13</f>
        <v>0.04</v>
      </c>
      <c r="F10" s="21">
        <f>+C10*E10</f>
        <v>1.68</v>
      </c>
      <c r="G10" s="95"/>
    </row>
    <row r="11" spans="1:10" s="3" customFormat="1">
      <c r="A11" s="181" t="s">
        <v>115</v>
      </c>
      <c r="B11" s="72" t="s">
        <v>116</v>
      </c>
      <c r="C11" s="76">
        <v>70</v>
      </c>
      <c r="D11" s="1" t="s">
        <v>56</v>
      </c>
      <c r="E11" s="21">
        <f>+'з.пл. за 1 мин. '!G13</f>
        <v>0.04</v>
      </c>
      <c r="F11" s="21">
        <f t="shared" ref="F11:F22" si="0">+C11*E11</f>
        <v>2.8</v>
      </c>
      <c r="G11" s="95"/>
    </row>
    <row r="12" spans="1:10" s="3" customFormat="1" ht="49.5" customHeight="1">
      <c r="A12" s="181" t="s">
        <v>117</v>
      </c>
      <c r="B12" s="72" t="s">
        <v>118</v>
      </c>
      <c r="C12" s="5">
        <v>84</v>
      </c>
      <c r="D12" s="1" t="s">
        <v>56</v>
      </c>
      <c r="E12" s="21">
        <f>+'з.пл. за 1 мин. '!G13</f>
        <v>0.04</v>
      </c>
      <c r="F12" s="21">
        <f t="shared" si="0"/>
        <v>3.36</v>
      </c>
      <c r="G12" s="95"/>
    </row>
    <row r="13" spans="1:10" s="3" customFormat="1" ht="48" customHeight="1">
      <c r="A13" s="181" t="s">
        <v>119</v>
      </c>
      <c r="B13" s="72" t="s">
        <v>120</v>
      </c>
      <c r="C13" s="5">
        <v>105</v>
      </c>
      <c r="D13" s="1" t="s">
        <v>56</v>
      </c>
      <c r="E13" s="21">
        <f>+'з.пл. за 1 мин. '!G13</f>
        <v>0.04</v>
      </c>
      <c r="F13" s="21">
        <f t="shared" si="0"/>
        <v>4.2</v>
      </c>
      <c r="G13" s="27"/>
    </row>
    <row r="14" spans="1:10" s="3" customFormat="1">
      <c r="A14" s="181" t="s">
        <v>121</v>
      </c>
      <c r="B14" s="89" t="s">
        <v>123</v>
      </c>
      <c r="C14" s="5">
        <v>84</v>
      </c>
      <c r="D14" s="1" t="s">
        <v>56</v>
      </c>
      <c r="E14" s="21">
        <f>+'з.пл. за 1 мин. '!G13</f>
        <v>0.04</v>
      </c>
      <c r="F14" s="21">
        <f t="shared" si="0"/>
        <v>3.36</v>
      </c>
      <c r="G14" s="95"/>
    </row>
    <row r="15" spans="1:10" s="3" customFormat="1">
      <c r="A15" s="181" t="s">
        <v>122</v>
      </c>
      <c r="B15" s="89" t="s">
        <v>124</v>
      </c>
      <c r="C15" s="5">
        <v>140</v>
      </c>
      <c r="D15" s="1" t="s">
        <v>56</v>
      </c>
      <c r="E15" s="21">
        <f>+'з.пл. за 1 мин. '!G13</f>
        <v>0.04</v>
      </c>
      <c r="F15" s="21">
        <f t="shared" si="0"/>
        <v>5.6</v>
      </c>
      <c r="G15" s="27"/>
    </row>
    <row r="16" spans="1:10" s="3" customFormat="1" ht="27" customHeight="1">
      <c r="A16" s="75" t="s">
        <v>125</v>
      </c>
      <c r="B16" s="290" t="s">
        <v>126</v>
      </c>
      <c r="C16" s="291"/>
      <c r="D16" s="291"/>
      <c r="E16" s="291"/>
      <c r="F16" s="292"/>
      <c r="G16" s="113"/>
      <c r="H16"/>
      <c r="I16"/>
      <c r="J16"/>
    </row>
    <row r="17" spans="1:9" s="3" customFormat="1" ht="31.5">
      <c r="A17" s="181" t="s">
        <v>127</v>
      </c>
      <c r="B17" s="72" t="s">
        <v>55</v>
      </c>
      <c r="C17" s="5">
        <v>105</v>
      </c>
      <c r="D17" s="1" t="s">
        <v>56</v>
      </c>
      <c r="E17" s="21">
        <f>+'з.пл. за 1 мин. '!G13</f>
        <v>0.04</v>
      </c>
      <c r="F17" s="21">
        <f t="shared" si="0"/>
        <v>4.2</v>
      </c>
      <c r="G17"/>
      <c r="H17"/>
      <c r="I17"/>
    </row>
    <row r="18" spans="1:9" s="3" customFormat="1" ht="33" customHeight="1">
      <c r="A18" s="181" t="s">
        <v>128</v>
      </c>
      <c r="B18" s="72" t="s">
        <v>129</v>
      </c>
      <c r="C18" s="5">
        <v>140</v>
      </c>
      <c r="D18" s="1" t="s">
        <v>56</v>
      </c>
      <c r="E18" s="21">
        <f>+'з.пл. за 1 мин. '!G13</f>
        <v>0.04</v>
      </c>
      <c r="F18" s="21">
        <f t="shared" si="0"/>
        <v>5.6</v>
      </c>
      <c r="G18"/>
      <c r="H18"/>
      <c r="I18"/>
    </row>
    <row r="19" spans="1:9" s="3" customFormat="1" ht="30.75" customHeight="1">
      <c r="A19" s="181" t="s">
        <v>130</v>
      </c>
      <c r="B19" s="72" t="s">
        <v>131</v>
      </c>
      <c r="C19" s="5">
        <v>60</v>
      </c>
      <c r="D19" s="1" t="s">
        <v>56</v>
      </c>
      <c r="E19" s="21">
        <f>+'з.пл. за 1 мин. '!G13</f>
        <v>0.04</v>
      </c>
      <c r="F19" s="21">
        <f t="shared" si="0"/>
        <v>2.4</v>
      </c>
      <c r="G19"/>
      <c r="H19"/>
      <c r="I19"/>
    </row>
    <row r="20" spans="1:9" s="3" customFormat="1" ht="29.25" customHeight="1">
      <c r="A20" s="75" t="s">
        <v>132</v>
      </c>
      <c r="B20" s="86" t="s">
        <v>133</v>
      </c>
      <c r="C20" s="5">
        <v>56</v>
      </c>
      <c r="D20" s="1" t="s">
        <v>56</v>
      </c>
      <c r="E20" s="21">
        <f>+'з.пл. за 1 мин. '!G13</f>
        <v>0.04</v>
      </c>
      <c r="F20" s="21">
        <f t="shared" si="0"/>
        <v>2.2400000000000002</v>
      </c>
      <c r="G20" s="113"/>
      <c r="H20"/>
      <c r="I20"/>
    </row>
    <row r="21" spans="1:9" s="3" customFormat="1" ht="33" customHeight="1">
      <c r="A21" s="75" t="s">
        <v>134</v>
      </c>
      <c r="B21" s="293" t="s">
        <v>135</v>
      </c>
      <c r="C21" s="294"/>
      <c r="D21" s="294"/>
      <c r="E21" s="294"/>
      <c r="F21" s="295"/>
      <c r="G21" s="113"/>
      <c r="H21"/>
      <c r="I21"/>
    </row>
    <row r="22" spans="1:9" s="3" customFormat="1" ht="54.75" customHeight="1">
      <c r="A22" s="181" t="s">
        <v>136</v>
      </c>
      <c r="B22" s="72" t="s">
        <v>137</v>
      </c>
      <c r="C22" s="5">
        <v>127</v>
      </c>
      <c r="D22" s="1" t="s">
        <v>56</v>
      </c>
      <c r="E22" s="21">
        <f>+'з.пл. за 1 мин. '!G13</f>
        <v>0.04</v>
      </c>
      <c r="F22" s="21">
        <f t="shared" si="0"/>
        <v>5.08</v>
      </c>
      <c r="G22" s="95"/>
    </row>
    <row r="23" spans="1:9" s="3" customFormat="1" ht="51.75" customHeight="1">
      <c r="A23" s="181" t="s">
        <v>139</v>
      </c>
      <c r="B23" s="72" t="s">
        <v>140</v>
      </c>
      <c r="C23" s="5">
        <v>175</v>
      </c>
      <c r="D23" s="1" t="s">
        <v>56</v>
      </c>
      <c r="E23" s="21">
        <f>+'з.пл. за 1 мин. '!G13</f>
        <v>0.04</v>
      </c>
      <c r="F23" s="21">
        <f>+C23*E23</f>
        <v>7</v>
      </c>
      <c r="G23" s="113"/>
      <c r="H23"/>
      <c r="I23"/>
    </row>
    <row r="24" spans="1:9" s="3" customFormat="1" ht="42.75" customHeight="1">
      <c r="A24" s="75" t="s">
        <v>142</v>
      </c>
      <c r="B24" s="296" t="s">
        <v>143</v>
      </c>
      <c r="C24" s="297"/>
      <c r="D24" s="297"/>
      <c r="E24" s="297"/>
      <c r="F24" s="298"/>
      <c r="G24" s="113"/>
      <c r="H24"/>
      <c r="I24"/>
    </row>
    <row r="25" spans="1:9" s="3" customFormat="1" ht="49.5" customHeight="1">
      <c r="A25" s="181" t="s">
        <v>144</v>
      </c>
      <c r="B25" s="72" t="s">
        <v>137</v>
      </c>
      <c r="C25" s="5">
        <v>100</v>
      </c>
      <c r="D25" s="1" t="s">
        <v>56</v>
      </c>
      <c r="E25" s="21">
        <f>+'з.пл. за 1 мин. '!G13</f>
        <v>0.04</v>
      </c>
      <c r="F25" s="21">
        <f>+C25*E25</f>
        <v>4</v>
      </c>
      <c r="G25" s="113"/>
      <c r="H25"/>
      <c r="I25"/>
    </row>
    <row r="26" spans="1:9" s="3" customFormat="1" ht="51.75" customHeight="1">
      <c r="A26" s="181" t="s">
        <v>145</v>
      </c>
      <c r="B26" s="72" t="s">
        <v>140</v>
      </c>
      <c r="C26" s="5">
        <v>150</v>
      </c>
      <c r="D26" s="1" t="s">
        <v>56</v>
      </c>
      <c r="E26" s="21">
        <f>+'з.пл. за 1 мин. '!G13</f>
        <v>0.04</v>
      </c>
      <c r="F26" s="21">
        <f>+C26*E26</f>
        <v>6</v>
      </c>
      <c r="G26" s="95"/>
    </row>
    <row r="27" spans="1:9" s="3" customFormat="1" ht="42.75" customHeight="1">
      <c r="A27" s="84" t="s">
        <v>146</v>
      </c>
      <c r="B27" s="86" t="s">
        <v>152</v>
      </c>
      <c r="C27" s="5">
        <v>4</v>
      </c>
      <c r="D27" s="1" t="s">
        <v>56</v>
      </c>
      <c r="E27" s="21">
        <f>+'з.пл. за 1 мин. '!G13</f>
        <v>0.04</v>
      </c>
      <c r="F27" s="21">
        <f>+C27*E27</f>
        <v>0.16</v>
      </c>
      <c r="G27" s="27"/>
    </row>
    <row r="28" spans="1:9" s="3" customFormat="1" ht="28.5">
      <c r="A28" s="84" t="s">
        <v>148</v>
      </c>
      <c r="B28" s="86" t="s">
        <v>149</v>
      </c>
      <c r="C28" s="5">
        <v>84</v>
      </c>
      <c r="D28" s="1" t="s">
        <v>56</v>
      </c>
      <c r="E28" s="21">
        <f>+'з.пл. за 1 мин. '!G13</f>
        <v>0.04</v>
      </c>
      <c r="F28" s="21">
        <f>+C28*E28</f>
        <v>3.36</v>
      </c>
      <c r="G28" s="95"/>
    </row>
    <row r="29" spans="1:9" s="3" customFormat="1">
      <c r="A29" s="10"/>
      <c r="B29" s="14"/>
      <c r="C29" s="10"/>
      <c r="D29" s="10"/>
      <c r="E29" s="10"/>
      <c r="F29" s="10"/>
    </row>
    <row r="30" spans="1:9" s="3" customFormat="1">
      <c r="A30" s="10"/>
      <c r="B30" s="14"/>
      <c r="C30" s="10"/>
      <c r="D30" s="10"/>
      <c r="E30" s="10"/>
      <c r="F30" s="10"/>
      <c r="G30" s="95"/>
    </row>
    <row r="31" spans="1:9" s="3" customFormat="1">
      <c r="A31" s="10"/>
      <c r="B31" s="100"/>
      <c r="C31" s="10"/>
      <c r="D31" s="10"/>
      <c r="E31" s="93"/>
      <c r="F31" s="10"/>
      <c r="G31" s="27"/>
    </row>
    <row r="32" spans="1:9" s="3" customFormat="1">
      <c r="A32" s="10"/>
      <c r="B32" s="14"/>
      <c r="C32" s="10"/>
      <c r="D32" s="10"/>
      <c r="E32" s="10"/>
      <c r="F32" s="10"/>
      <c r="G32" s="95"/>
    </row>
    <row r="33" spans="1:7" s="3" customFormat="1">
      <c r="A33" s="10"/>
      <c r="B33" s="14"/>
      <c r="C33" s="10"/>
      <c r="D33" s="10"/>
      <c r="E33" s="10"/>
      <c r="F33" s="10"/>
      <c r="G33" s="27"/>
    </row>
    <row r="34" spans="1:7" s="3" customFormat="1">
      <c r="A34" s="10"/>
      <c r="B34" s="14"/>
      <c r="C34" s="10"/>
      <c r="D34" s="10"/>
      <c r="E34" s="10"/>
      <c r="F34" s="10"/>
      <c r="G34" s="95"/>
    </row>
    <row r="35" spans="1:7" s="3" customFormat="1">
      <c r="A35" s="10"/>
      <c r="B35" s="14"/>
      <c r="C35" s="10"/>
      <c r="D35" s="10"/>
      <c r="E35" s="10"/>
      <c r="F35" s="10"/>
      <c r="G35" s="27"/>
    </row>
    <row r="36" spans="1:7" s="3" customFormat="1">
      <c r="A36" s="10"/>
      <c r="B36" s="14"/>
      <c r="C36" s="10"/>
      <c r="D36" s="10"/>
      <c r="E36" s="10"/>
      <c r="F36" s="10"/>
      <c r="G36" s="95"/>
    </row>
    <row r="37" spans="1:7" s="3" customFormat="1">
      <c r="A37" s="10"/>
      <c r="B37" s="14"/>
      <c r="C37" s="10"/>
      <c r="D37" s="10"/>
      <c r="E37" s="10"/>
      <c r="F37" s="10"/>
      <c r="G37" s="27"/>
    </row>
    <row r="38" spans="1:7" s="3" customFormat="1">
      <c r="A38" s="10"/>
      <c r="B38" s="14"/>
      <c r="C38" s="10"/>
      <c r="D38" s="10"/>
      <c r="E38" s="10"/>
      <c r="F38" s="10"/>
      <c r="G38" s="95"/>
    </row>
    <row r="39" spans="1:7" s="3" customFormat="1">
      <c r="A39" s="10"/>
      <c r="B39" s="14"/>
      <c r="C39" s="10"/>
      <c r="D39" s="10"/>
      <c r="E39" s="10"/>
      <c r="F39" s="10"/>
      <c r="G39" s="27"/>
    </row>
    <row r="40" spans="1:7" s="3" customFormat="1">
      <c r="A40" s="10"/>
      <c r="B40" s="14"/>
      <c r="C40" s="10"/>
      <c r="D40" s="10"/>
      <c r="E40" s="10"/>
      <c r="F40" s="10"/>
      <c r="G40" s="95"/>
    </row>
    <row r="41" spans="1:7" s="3" customFormat="1">
      <c r="A41" s="10"/>
      <c r="B41" s="14"/>
      <c r="C41" s="10"/>
      <c r="D41" s="10"/>
      <c r="E41" s="10"/>
      <c r="F41" s="10"/>
      <c r="G41" s="27"/>
    </row>
    <row r="42" spans="1:7" s="3" customFormat="1">
      <c r="A42" s="10"/>
      <c r="B42" s="14"/>
      <c r="C42" s="10"/>
      <c r="D42" s="10"/>
      <c r="E42" s="10"/>
      <c r="F42" s="10"/>
      <c r="G42" s="95"/>
    </row>
    <row r="43" spans="1:7" s="3" customFormat="1">
      <c r="A43" s="10"/>
      <c r="B43" s="14"/>
      <c r="C43" s="10"/>
      <c r="D43" s="10"/>
      <c r="E43" s="10"/>
      <c r="F43" s="10"/>
    </row>
    <row r="44" spans="1:7" s="3" customFormat="1">
      <c r="A44" s="10"/>
      <c r="B44" s="14"/>
      <c r="C44" s="10"/>
      <c r="D44" s="10"/>
      <c r="E44" s="10"/>
      <c r="F44" s="10"/>
    </row>
    <row r="45" spans="1:7" s="3" customFormat="1">
      <c r="A45" s="10"/>
      <c r="B45" s="14"/>
      <c r="C45" s="10"/>
      <c r="D45" s="10"/>
      <c r="E45" s="10"/>
      <c r="F45" s="10"/>
    </row>
    <row r="46" spans="1:7" s="3" customFormat="1">
      <c r="A46" s="10"/>
      <c r="B46" s="14"/>
      <c r="C46" s="10"/>
      <c r="D46" s="10"/>
      <c r="E46" s="10"/>
      <c r="F46" s="10"/>
    </row>
    <row r="47" spans="1:7" s="3" customFormat="1">
      <c r="A47" s="10"/>
      <c r="B47" s="14"/>
      <c r="C47" s="10"/>
      <c r="D47" s="10"/>
      <c r="E47" s="10"/>
      <c r="F47" s="10"/>
    </row>
    <row r="48" spans="1:7" s="3" customFormat="1">
      <c r="A48" s="10"/>
      <c r="B48" s="14"/>
      <c r="C48" s="10"/>
      <c r="D48" s="10"/>
      <c r="E48" s="10"/>
      <c r="F48" s="10"/>
    </row>
    <row r="49" spans="1:6" s="3" customFormat="1">
      <c r="A49" s="10"/>
      <c r="B49" s="14"/>
      <c r="C49" s="10"/>
      <c r="D49" s="10"/>
      <c r="E49" s="10"/>
      <c r="F49" s="10"/>
    </row>
    <row r="50" spans="1:6">
      <c r="A50" s="8"/>
      <c r="F50" s="9"/>
    </row>
    <row r="51" spans="1:6" ht="25.5" customHeight="1">
      <c r="A51" s="8"/>
      <c r="F51" s="3"/>
    </row>
  </sheetData>
  <mergeCells count="10">
    <mergeCell ref="B24:F24"/>
    <mergeCell ref="A3:F3"/>
    <mergeCell ref="A4:F4"/>
    <mergeCell ref="A5:F5"/>
    <mergeCell ref="A6:F6"/>
    <mergeCell ref="E1:F1"/>
    <mergeCell ref="B2:F2"/>
    <mergeCell ref="B9:F9"/>
    <mergeCell ref="B16:F16"/>
    <mergeCell ref="B21:F21"/>
  </mergeCells>
  <phoneticPr fontId="0" type="noConversion"/>
  <pageMargins left="0.78740157480314965" right="0.78740157480314965" top="0.59055118110236227" bottom="0.39370078740157483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3"/>
  <sheetViews>
    <sheetView topLeftCell="A13" workbookViewId="0">
      <selection activeCell="F30" sqref="F30"/>
    </sheetView>
  </sheetViews>
  <sheetFormatPr defaultRowHeight="15.75"/>
  <cols>
    <col min="1" max="1" width="6.85546875" style="3" customWidth="1"/>
    <col min="2" max="2" width="28" style="4" customWidth="1"/>
    <col min="3" max="3" width="8.7109375" style="2" customWidth="1"/>
    <col min="4" max="4" width="17.140625" style="2" customWidth="1"/>
    <col min="5" max="5" width="14.140625" style="2" customWidth="1"/>
    <col min="6" max="6" width="11.85546875" style="2" customWidth="1"/>
    <col min="7" max="16384" width="9.140625" style="2"/>
  </cols>
  <sheetData>
    <row r="1" spans="1:9">
      <c r="C1" s="70"/>
      <c r="D1"/>
      <c r="E1" s="279" t="s">
        <v>316</v>
      </c>
      <c r="F1" s="280"/>
      <c r="G1"/>
    </row>
    <row r="2" spans="1:9">
      <c r="B2" s="300" t="s">
        <v>306</v>
      </c>
      <c r="C2" s="301"/>
      <c r="D2" s="301"/>
      <c r="E2" s="301"/>
      <c r="F2" s="301"/>
      <c r="G2"/>
    </row>
    <row r="3" spans="1:9" s="11" customFormat="1" ht="20.25" customHeight="1">
      <c r="A3" s="282" t="s">
        <v>7</v>
      </c>
      <c r="B3" s="282"/>
      <c r="C3" s="282"/>
      <c r="D3" s="282"/>
      <c r="E3" s="282"/>
      <c r="F3" s="282"/>
    </row>
    <row r="4" spans="1:9" s="11" customFormat="1" ht="16.5" customHeight="1">
      <c r="A4" s="283" t="s">
        <v>15</v>
      </c>
      <c r="B4" s="283"/>
      <c r="C4" s="283"/>
      <c r="D4" s="283"/>
      <c r="E4" s="283"/>
      <c r="F4" s="283"/>
    </row>
    <row r="5" spans="1:9" s="11" customFormat="1" ht="18" customHeight="1">
      <c r="A5" s="283" t="s">
        <v>315</v>
      </c>
      <c r="B5" s="283"/>
      <c r="C5" s="283"/>
      <c r="D5" s="283"/>
      <c r="E5" s="283"/>
      <c r="F5" s="283"/>
      <c r="G5" s="22"/>
    </row>
    <row r="6" spans="1:9" ht="29.25" customHeight="1">
      <c r="A6" s="299" t="s">
        <v>83</v>
      </c>
      <c r="B6" s="299"/>
      <c r="C6" s="299"/>
      <c r="D6" s="299"/>
      <c r="E6" s="299"/>
      <c r="F6" s="299"/>
      <c r="G6" s="23"/>
    </row>
    <row r="7" spans="1:9" ht="93" customHeight="1">
      <c r="A7" s="12" t="s">
        <v>0</v>
      </c>
      <c r="B7" s="238" t="s">
        <v>320</v>
      </c>
      <c r="C7" s="12" t="s">
        <v>16</v>
      </c>
      <c r="D7" s="239" t="s">
        <v>321</v>
      </c>
      <c r="E7" s="15" t="s">
        <v>17</v>
      </c>
      <c r="F7" s="15" t="s">
        <v>18</v>
      </c>
    </row>
    <row r="8" spans="1:9" s="3" customFormat="1" ht="13.5" customHeight="1">
      <c r="A8" s="98">
        <v>1</v>
      </c>
      <c r="B8" s="99">
        <v>2</v>
      </c>
      <c r="C8" s="98">
        <v>3</v>
      </c>
      <c r="D8" s="98">
        <v>4</v>
      </c>
      <c r="E8" s="98">
        <v>5</v>
      </c>
      <c r="F8" s="98">
        <v>6</v>
      </c>
    </row>
    <row r="9" spans="1:9" s="3" customFormat="1" ht="33" customHeight="1">
      <c r="A9" s="97" t="s">
        <v>80</v>
      </c>
      <c r="B9" s="296" t="s">
        <v>81</v>
      </c>
      <c r="C9" s="297"/>
      <c r="D9" s="297"/>
      <c r="E9" s="297"/>
      <c r="F9" s="298"/>
      <c r="G9" s="113"/>
      <c r="H9"/>
      <c r="I9"/>
    </row>
    <row r="10" spans="1:9" s="3" customFormat="1">
      <c r="A10" s="82" t="s">
        <v>82</v>
      </c>
      <c r="B10" s="81" t="s">
        <v>55</v>
      </c>
      <c r="C10" s="76">
        <v>40</v>
      </c>
      <c r="D10" s="1" t="s">
        <v>56</v>
      </c>
      <c r="E10" s="21">
        <f>+'з.пл. за 1 мин. '!G13</f>
        <v>0.04</v>
      </c>
      <c r="F10" s="21">
        <f t="shared" ref="F10:F25" si="0">+C10*E10</f>
        <v>1.6</v>
      </c>
      <c r="G10" s="95"/>
    </row>
    <row r="11" spans="1:9" s="3" customFormat="1">
      <c r="A11" s="83" t="s">
        <v>84</v>
      </c>
      <c r="B11" s="81" t="s">
        <v>58</v>
      </c>
      <c r="C11" s="76">
        <v>38</v>
      </c>
      <c r="D11" s="1" t="s">
        <v>56</v>
      </c>
      <c r="E11" s="21">
        <f>+'з.пл. за 1 мин. '!G13</f>
        <v>0.04</v>
      </c>
      <c r="F11" s="21">
        <f t="shared" si="0"/>
        <v>1.52</v>
      </c>
      <c r="G11" s="95"/>
    </row>
    <row r="12" spans="1:9" s="3" customFormat="1">
      <c r="A12" s="83" t="s">
        <v>85</v>
      </c>
      <c r="B12" s="81" t="s">
        <v>60</v>
      </c>
      <c r="C12" s="76">
        <v>22</v>
      </c>
      <c r="D12" s="1" t="s">
        <v>56</v>
      </c>
      <c r="E12" s="21">
        <f>+'з.пл. за 1 мин. '!G13</f>
        <v>0.04</v>
      </c>
      <c r="F12" s="21">
        <f t="shared" si="0"/>
        <v>0.88</v>
      </c>
      <c r="G12" s="95"/>
    </row>
    <row r="13" spans="1:9" s="3" customFormat="1">
      <c r="A13" s="182" t="s">
        <v>86</v>
      </c>
      <c r="B13" s="290" t="s">
        <v>87</v>
      </c>
      <c r="C13" s="302"/>
      <c r="D13" s="302"/>
      <c r="E13" s="302"/>
      <c r="F13" s="303"/>
      <c r="G13" s="95"/>
    </row>
    <row r="14" spans="1:9" s="3" customFormat="1">
      <c r="A14" s="183" t="s">
        <v>88</v>
      </c>
      <c r="B14" s="81" t="s">
        <v>55</v>
      </c>
      <c r="C14" s="5">
        <v>29</v>
      </c>
      <c r="D14" s="1" t="s">
        <v>56</v>
      </c>
      <c r="E14" s="21">
        <f>+'з.пл. за 1 мин. '!G13</f>
        <v>0.04</v>
      </c>
      <c r="F14" s="21">
        <f t="shared" si="0"/>
        <v>1.1599999999999999</v>
      </c>
      <c r="G14" s="27"/>
    </row>
    <row r="15" spans="1:9" s="3" customFormat="1">
      <c r="A15" s="183" t="s">
        <v>89</v>
      </c>
      <c r="B15" s="81" t="s">
        <v>58</v>
      </c>
      <c r="C15" s="5">
        <v>26</v>
      </c>
      <c r="D15" s="1" t="s">
        <v>56</v>
      </c>
      <c r="E15" s="21">
        <f>+'з.пл. за 1 мин. '!G13</f>
        <v>0.04</v>
      </c>
      <c r="F15" s="21">
        <f t="shared" si="0"/>
        <v>1.04</v>
      </c>
      <c r="G15" s="95"/>
    </row>
    <row r="16" spans="1:9" s="3" customFormat="1">
      <c r="A16" s="183" t="s">
        <v>90</v>
      </c>
      <c r="B16" s="81" t="s">
        <v>60</v>
      </c>
      <c r="C16" s="5">
        <v>17</v>
      </c>
      <c r="D16" s="1" t="s">
        <v>56</v>
      </c>
      <c r="E16" s="21">
        <f>+'з.пл. за 1 мин. '!G13</f>
        <v>0.04</v>
      </c>
      <c r="F16" s="21">
        <f t="shared" si="0"/>
        <v>0.68</v>
      </c>
      <c r="G16" s="27"/>
    </row>
    <row r="17" spans="1:7" s="3" customFormat="1" ht="31.5" customHeight="1">
      <c r="A17" s="182" t="s">
        <v>91</v>
      </c>
      <c r="B17" s="296" t="s">
        <v>92</v>
      </c>
      <c r="C17" s="297"/>
      <c r="D17" s="297"/>
      <c r="E17" s="297"/>
      <c r="F17" s="298"/>
      <c r="G17" s="95"/>
    </row>
    <row r="18" spans="1:7" s="3" customFormat="1">
      <c r="A18" s="183" t="s">
        <v>93</v>
      </c>
      <c r="B18" s="81" t="s">
        <v>55</v>
      </c>
      <c r="C18" s="5">
        <v>172</v>
      </c>
      <c r="D18" s="1" t="s">
        <v>56</v>
      </c>
      <c r="E18" s="21">
        <f>+'з.пл. за 1 мин. '!G13</f>
        <v>0.04</v>
      </c>
      <c r="F18" s="21">
        <f t="shared" si="0"/>
        <v>6.88</v>
      </c>
      <c r="G18" s="95"/>
    </row>
    <row r="19" spans="1:7" s="3" customFormat="1">
      <c r="A19" s="183" t="s">
        <v>94</v>
      </c>
      <c r="B19" s="81" t="s">
        <v>58</v>
      </c>
      <c r="C19" s="5">
        <v>59</v>
      </c>
      <c r="D19" s="1" t="s">
        <v>56</v>
      </c>
      <c r="E19" s="21">
        <f>+'з.пл. за 1 мин. '!G13</f>
        <v>0.04</v>
      </c>
      <c r="F19" s="21">
        <f t="shared" si="0"/>
        <v>2.36</v>
      </c>
      <c r="G19" s="95"/>
    </row>
    <row r="20" spans="1:7" s="3" customFormat="1">
      <c r="A20" s="183" t="s">
        <v>95</v>
      </c>
      <c r="B20" s="81" t="s">
        <v>60</v>
      </c>
      <c r="C20" s="5">
        <v>33</v>
      </c>
      <c r="D20" s="1" t="s">
        <v>56</v>
      </c>
      <c r="E20" s="21">
        <f>+'з.пл. за 1 мин. '!G13</f>
        <v>0.04</v>
      </c>
      <c r="F20" s="21">
        <f t="shared" si="0"/>
        <v>1.32</v>
      </c>
      <c r="G20" s="95"/>
    </row>
    <row r="21" spans="1:7" s="3" customFormat="1">
      <c r="A21" s="182" t="s">
        <v>96</v>
      </c>
      <c r="B21" s="290" t="s">
        <v>97</v>
      </c>
      <c r="C21" s="291"/>
      <c r="D21" s="291"/>
      <c r="E21" s="291"/>
      <c r="F21" s="292"/>
      <c r="G21" s="27"/>
    </row>
    <row r="22" spans="1:7" s="3" customFormat="1">
      <c r="A22" s="183" t="s">
        <v>98</v>
      </c>
      <c r="B22" s="81" t="s">
        <v>55</v>
      </c>
      <c r="C22" s="5">
        <v>27</v>
      </c>
      <c r="D22" s="1" t="s">
        <v>56</v>
      </c>
      <c r="E22" s="21">
        <f>+'з.пл. за 1 мин. '!G13</f>
        <v>0.04</v>
      </c>
      <c r="F22" s="21">
        <f t="shared" si="0"/>
        <v>1.08</v>
      </c>
      <c r="G22" s="27"/>
    </row>
    <row r="23" spans="1:7" s="3" customFormat="1">
      <c r="A23" s="183" t="s">
        <v>99</v>
      </c>
      <c r="B23" s="81" t="s">
        <v>58</v>
      </c>
      <c r="C23" s="5">
        <v>24</v>
      </c>
      <c r="D23" s="1" t="s">
        <v>56</v>
      </c>
      <c r="E23" s="21">
        <f>+'з.пл. за 1 мин. '!G13</f>
        <v>0.04</v>
      </c>
      <c r="F23" s="21">
        <f t="shared" si="0"/>
        <v>0.96</v>
      </c>
      <c r="G23" s="27"/>
    </row>
    <row r="24" spans="1:7" s="3" customFormat="1">
      <c r="A24" s="183" t="s">
        <v>100</v>
      </c>
      <c r="B24" s="81" t="s">
        <v>60</v>
      </c>
      <c r="C24" s="5">
        <v>19</v>
      </c>
      <c r="D24" s="1" t="s">
        <v>56</v>
      </c>
      <c r="E24" s="21">
        <f>+'з.пл. за 1 мин. '!G13</f>
        <v>0.04</v>
      </c>
      <c r="F24" s="21">
        <f t="shared" si="0"/>
        <v>0.76</v>
      </c>
      <c r="G24" s="27"/>
    </row>
    <row r="25" spans="1:7" s="3" customFormat="1" ht="27.75" customHeight="1">
      <c r="A25" s="84" t="s">
        <v>101</v>
      </c>
      <c r="B25" s="112" t="s">
        <v>156</v>
      </c>
      <c r="C25" s="5">
        <v>74</v>
      </c>
      <c r="D25" s="1" t="s">
        <v>56</v>
      </c>
      <c r="E25" s="21">
        <f>+'з.пл. за 1 мин. '!G13</f>
        <v>0.04</v>
      </c>
      <c r="F25" s="21">
        <f t="shared" si="0"/>
        <v>2.96</v>
      </c>
      <c r="G25" s="95"/>
    </row>
    <row r="26" spans="1:7" s="3" customFormat="1" ht="42.75">
      <c r="A26" s="84" t="s">
        <v>102</v>
      </c>
      <c r="B26" s="86" t="s">
        <v>155</v>
      </c>
      <c r="C26" s="5">
        <v>89</v>
      </c>
      <c r="D26" s="1" t="s">
        <v>56</v>
      </c>
      <c r="E26" s="21">
        <f>+'з.пл. за 1 мин. '!G13</f>
        <v>0.04</v>
      </c>
      <c r="F26" s="21">
        <f>+C26*E26</f>
        <v>3.56</v>
      </c>
      <c r="G26" s="27"/>
    </row>
    <row r="27" spans="1:7" s="3" customFormat="1" ht="42.75">
      <c r="A27" s="84" t="s">
        <v>103</v>
      </c>
      <c r="B27" s="86" t="s">
        <v>154</v>
      </c>
      <c r="C27" s="5">
        <v>2</v>
      </c>
      <c r="D27" s="1" t="s">
        <v>56</v>
      </c>
      <c r="E27" s="21">
        <f>+'з.пл. за 1 мин. '!G13</f>
        <v>0.04</v>
      </c>
      <c r="F27" s="21">
        <f>+C27*E27</f>
        <v>0.08</v>
      </c>
      <c r="G27" s="95"/>
    </row>
    <row r="28" spans="1:7" s="3" customFormat="1" ht="42.75">
      <c r="A28" s="84" t="s">
        <v>104</v>
      </c>
      <c r="B28" s="86" t="s">
        <v>157</v>
      </c>
      <c r="C28" s="5">
        <v>11</v>
      </c>
      <c r="D28" s="1" t="s">
        <v>56</v>
      </c>
      <c r="E28" s="21">
        <f>+'з.пл. за 1 мин. '!G13</f>
        <v>0.04</v>
      </c>
      <c r="F28" s="21">
        <f>+C28*E28</f>
        <v>0.44</v>
      </c>
      <c r="G28" s="27"/>
    </row>
    <row r="29" spans="1:7" s="3" customFormat="1" ht="45.75" customHeight="1">
      <c r="A29" s="84" t="s">
        <v>105</v>
      </c>
      <c r="B29" s="86" t="s">
        <v>153</v>
      </c>
      <c r="C29" s="5">
        <v>372</v>
      </c>
      <c r="D29" s="1" t="s">
        <v>56</v>
      </c>
      <c r="E29" s="21">
        <f>+'з.пл. за 1 мин. '!G13</f>
        <v>0.04</v>
      </c>
      <c r="F29" s="21">
        <f>+C29*E29</f>
        <v>14.88</v>
      </c>
      <c r="G29" s="95"/>
    </row>
    <row r="30" spans="1:7" s="3" customFormat="1" ht="42.75">
      <c r="A30" s="84" t="s">
        <v>106</v>
      </c>
      <c r="B30" s="86" t="s">
        <v>107</v>
      </c>
      <c r="C30" s="5">
        <v>111</v>
      </c>
      <c r="D30" s="1" t="s">
        <v>56</v>
      </c>
      <c r="E30" s="21">
        <f>+'з.пл. за 1 мин. '!G13</f>
        <v>0.04</v>
      </c>
      <c r="F30" s="21">
        <f>+C30*E30</f>
        <v>4.4400000000000004</v>
      </c>
      <c r="G30" s="27"/>
    </row>
    <row r="31" spans="1:7" s="3" customFormat="1">
      <c r="A31" s="50"/>
      <c r="B31" s="14"/>
      <c r="C31" s="10"/>
      <c r="D31" s="10"/>
      <c r="E31" s="10"/>
      <c r="F31" s="10"/>
      <c r="G31" s="95"/>
    </row>
    <row r="32" spans="1:7" s="3" customFormat="1">
      <c r="A32" s="10"/>
      <c r="B32" s="14"/>
      <c r="C32" s="10"/>
      <c r="D32" s="10"/>
      <c r="E32" s="10"/>
      <c r="F32" s="10"/>
      <c r="G32" s="95"/>
    </row>
    <row r="33" spans="1:7" s="3" customFormat="1">
      <c r="A33" s="10"/>
      <c r="B33" s="14"/>
      <c r="C33" s="10"/>
      <c r="D33" s="10"/>
      <c r="E33" s="10"/>
      <c r="F33" s="10"/>
      <c r="G33" s="27"/>
    </row>
    <row r="34" spans="1:7" s="3" customFormat="1">
      <c r="A34" s="10"/>
      <c r="B34" s="14"/>
      <c r="C34" s="10"/>
      <c r="D34" s="10"/>
      <c r="E34" s="10"/>
      <c r="F34" s="10"/>
      <c r="G34" s="95"/>
    </row>
    <row r="35" spans="1:7" s="3" customFormat="1">
      <c r="A35" s="10"/>
      <c r="B35" s="14"/>
      <c r="C35" s="10"/>
      <c r="D35" s="10"/>
      <c r="E35" s="10"/>
      <c r="F35" s="10"/>
      <c r="G35" s="27"/>
    </row>
    <row r="36" spans="1:7" s="3" customFormat="1">
      <c r="A36" s="10"/>
      <c r="B36" s="14"/>
      <c r="C36" s="10"/>
      <c r="D36" s="10"/>
      <c r="E36" s="10"/>
      <c r="F36" s="10"/>
      <c r="G36" s="95"/>
    </row>
    <row r="37" spans="1:7" s="3" customFormat="1">
      <c r="A37" s="10"/>
      <c r="B37" s="14"/>
      <c r="C37" s="10"/>
      <c r="D37" s="10"/>
      <c r="E37" s="10"/>
      <c r="F37" s="10"/>
      <c r="G37" s="27"/>
    </row>
    <row r="38" spans="1:7" s="3" customFormat="1">
      <c r="A38" s="10"/>
      <c r="B38" s="14"/>
      <c r="C38" s="10"/>
      <c r="D38" s="10"/>
      <c r="E38" s="10"/>
      <c r="F38" s="10"/>
      <c r="G38" s="95"/>
    </row>
    <row r="39" spans="1:7" s="3" customFormat="1">
      <c r="A39" s="10"/>
      <c r="B39" s="14"/>
      <c r="C39" s="10"/>
      <c r="D39" s="10"/>
      <c r="E39" s="10"/>
      <c r="F39" s="10"/>
      <c r="G39" s="27"/>
    </row>
    <row r="40" spans="1:7" s="3" customFormat="1">
      <c r="A40" s="10"/>
      <c r="B40" s="14"/>
      <c r="C40" s="10"/>
      <c r="D40" s="10"/>
      <c r="E40" s="10"/>
      <c r="F40" s="10"/>
      <c r="G40" s="95"/>
    </row>
    <row r="41" spans="1:7" s="3" customFormat="1">
      <c r="A41" s="10"/>
      <c r="B41" s="14"/>
      <c r="C41" s="10"/>
      <c r="D41" s="10"/>
      <c r="E41" s="10"/>
      <c r="F41" s="10"/>
      <c r="G41" s="27"/>
    </row>
    <row r="42" spans="1:7" s="3" customFormat="1">
      <c r="A42" s="10"/>
      <c r="B42" s="14"/>
      <c r="C42" s="10"/>
      <c r="D42" s="10"/>
      <c r="E42" s="10"/>
      <c r="F42" s="10"/>
      <c r="G42" s="95"/>
    </row>
    <row r="43" spans="1:7" s="3" customFormat="1">
      <c r="A43" s="10"/>
      <c r="B43" s="14"/>
      <c r="C43" s="10"/>
      <c r="D43" s="10"/>
      <c r="E43" s="10"/>
      <c r="F43" s="10"/>
      <c r="G43" s="27"/>
    </row>
    <row r="44" spans="1:7" s="3" customFormat="1">
      <c r="A44" s="10"/>
      <c r="B44" s="14"/>
      <c r="C44" s="10"/>
      <c r="D44" s="10"/>
      <c r="E44" s="10"/>
      <c r="F44" s="10"/>
      <c r="G44" s="95"/>
    </row>
    <row r="45" spans="1:7" s="3" customFormat="1">
      <c r="A45" s="10"/>
      <c r="B45" s="14"/>
      <c r="C45" s="10"/>
      <c r="D45" s="10"/>
      <c r="E45" s="10"/>
      <c r="F45" s="10"/>
    </row>
    <row r="46" spans="1:7" s="3" customFormat="1">
      <c r="A46" s="10"/>
      <c r="B46" s="14"/>
      <c r="C46" s="10"/>
      <c r="D46" s="10"/>
      <c r="E46" s="10"/>
      <c r="F46" s="10"/>
    </row>
    <row r="47" spans="1:7" s="3" customFormat="1">
      <c r="A47" s="10"/>
      <c r="B47" s="14"/>
      <c r="C47" s="10"/>
      <c r="D47" s="10"/>
      <c r="E47" s="10"/>
      <c r="F47" s="10"/>
    </row>
    <row r="48" spans="1:7" s="3" customFormat="1">
      <c r="A48" s="10"/>
      <c r="B48" s="14"/>
      <c r="C48" s="10"/>
      <c r="D48" s="10"/>
      <c r="E48" s="10"/>
      <c r="F48" s="10"/>
    </row>
    <row r="49" spans="1:6" s="3" customFormat="1">
      <c r="A49" s="10"/>
      <c r="B49" s="14"/>
      <c r="C49" s="10"/>
      <c r="D49" s="10"/>
      <c r="E49" s="10"/>
      <c r="F49" s="10"/>
    </row>
    <row r="50" spans="1:6" s="3" customFormat="1">
      <c r="A50" s="10"/>
      <c r="B50" s="14"/>
      <c r="C50" s="10"/>
      <c r="D50" s="10"/>
      <c r="E50" s="10"/>
      <c r="F50" s="10"/>
    </row>
    <row r="51" spans="1:6" s="3" customFormat="1">
      <c r="A51" s="10"/>
      <c r="B51" s="14"/>
      <c r="C51" s="10"/>
      <c r="D51" s="10"/>
      <c r="E51" s="10"/>
      <c r="F51" s="10"/>
    </row>
    <row r="52" spans="1:6">
      <c r="A52" s="8"/>
      <c r="F52" s="9"/>
    </row>
    <row r="53" spans="1:6" ht="25.5" customHeight="1">
      <c r="A53" s="8"/>
      <c r="F53" s="3"/>
    </row>
  </sheetData>
  <mergeCells count="10">
    <mergeCell ref="B21:F21"/>
    <mergeCell ref="A3:F3"/>
    <mergeCell ref="A4:F4"/>
    <mergeCell ref="A5:F5"/>
    <mergeCell ref="A6:F6"/>
    <mergeCell ref="E1:F1"/>
    <mergeCell ref="B2:F2"/>
    <mergeCell ref="B9:F9"/>
    <mergeCell ref="B13:F13"/>
    <mergeCell ref="B17:F17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49"/>
  <sheetViews>
    <sheetView topLeftCell="A7" workbookViewId="0">
      <selection activeCell="F20" sqref="F20"/>
    </sheetView>
  </sheetViews>
  <sheetFormatPr defaultRowHeight="15.75"/>
  <cols>
    <col min="1" max="1" width="6.140625" style="3" customWidth="1"/>
    <col min="2" max="2" width="28" style="4" customWidth="1"/>
    <col min="3" max="3" width="10.140625" style="2" customWidth="1"/>
    <col min="4" max="4" width="17.140625" style="2" customWidth="1"/>
    <col min="5" max="5" width="15.42578125" style="2" customWidth="1"/>
    <col min="6" max="6" width="11.85546875" style="2" customWidth="1"/>
    <col min="7" max="16384" width="9.140625" style="2"/>
  </cols>
  <sheetData>
    <row r="1" spans="1:7">
      <c r="C1" s="70"/>
      <c r="D1"/>
      <c r="E1"/>
      <c r="F1"/>
      <c r="G1"/>
    </row>
    <row r="2" spans="1:7">
      <c r="C2" s="70"/>
      <c r="D2"/>
      <c r="E2" s="279" t="s">
        <v>316</v>
      </c>
      <c r="F2" s="280"/>
      <c r="G2"/>
    </row>
    <row r="3" spans="1:7">
      <c r="B3" s="304" t="s">
        <v>306</v>
      </c>
      <c r="C3" s="305"/>
      <c r="D3" s="305"/>
      <c r="E3" s="305"/>
      <c r="F3" s="305"/>
      <c r="G3"/>
    </row>
    <row r="4" spans="1:7" s="11" customFormat="1" ht="20.25" customHeight="1">
      <c r="A4" s="282" t="s">
        <v>7</v>
      </c>
      <c r="B4" s="282"/>
      <c r="C4" s="282"/>
      <c r="D4" s="282"/>
      <c r="E4" s="282"/>
      <c r="F4" s="282"/>
    </row>
    <row r="5" spans="1:7" s="11" customFormat="1" ht="19.5" customHeight="1">
      <c r="A5" s="283" t="s">
        <v>15</v>
      </c>
      <c r="B5" s="283"/>
      <c r="C5" s="283"/>
      <c r="D5" s="283"/>
      <c r="E5" s="283"/>
      <c r="F5" s="283"/>
    </row>
    <row r="6" spans="1:7" s="11" customFormat="1" ht="19.5" customHeight="1">
      <c r="A6" s="283" t="s">
        <v>315</v>
      </c>
      <c r="B6" s="283"/>
      <c r="C6" s="283"/>
      <c r="D6" s="283"/>
      <c r="E6" s="283"/>
      <c r="F6" s="283"/>
      <c r="G6" s="22"/>
    </row>
    <row r="7" spans="1:7" ht="29.25" customHeight="1">
      <c r="A7" s="299" t="s">
        <v>79</v>
      </c>
      <c r="B7" s="299"/>
      <c r="C7" s="299"/>
      <c r="D7" s="299"/>
      <c r="E7" s="299"/>
      <c r="F7" s="299"/>
      <c r="G7" s="23"/>
    </row>
    <row r="8" spans="1:7" ht="104.25" customHeight="1">
      <c r="A8" s="12" t="s">
        <v>0</v>
      </c>
      <c r="B8" s="238" t="s">
        <v>320</v>
      </c>
      <c r="C8" s="12" t="s">
        <v>16</v>
      </c>
      <c r="D8" s="239" t="s">
        <v>321</v>
      </c>
      <c r="E8" s="15" t="s">
        <v>17</v>
      </c>
      <c r="F8" s="15" t="s">
        <v>18</v>
      </c>
      <c r="G8" s="29"/>
    </row>
    <row r="9" spans="1:7" s="3" customFormat="1">
      <c r="A9" s="5">
        <v>1</v>
      </c>
      <c r="B9" s="1">
        <v>2</v>
      </c>
      <c r="C9" s="5">
        <v>3</v>
      </c>
      <c r="D9" s="5">
        <v>4</v>
      </c>
      <c r="E9" s="5">
        <v>5</v>
      </c>
      <c r="F9" s="5">
        <v>6</v>
      </c>
      <c r="G9" s="27"/>
    </row>
    <row r="10" spans="1:7" s="3" customFormat="1" ht="23.25" customHeight="1">
      <c r="A10" s="97" t="s">
        <v>52</v>
      </c>
      <c r="B10" s="306" t="s">
        <v>53</v>
      </c>
      <c r="C10" s="307"/>
      <c r="D10" s="307"/>
      <c r="E10" s="307"/>
      <c r="F10" s="308"/>
      <c r="G10" s="95"/>
    </row>
    <row r="11" spans="1:7" s="3" customFormat="1">
      <c r="A11" s="82" t="s">
        <v>54</v>
      </c>
      <c r="B11" s="81" t="s">
        <v>55</v>
      </c>
      <c r="C11" s="76">
        <v>17</v>
      </c>
      <c r="D11" s="1" t="s">
        <v>56</v>
      </c>
      <c r="E11" s="21">
        <f>+'з.пл. за 1 мин. '!G13</f>
        <v>0.04</v>
      </c>
      <c r="F11" s="21">
        <f t="shared" ref="F11:F20" si="0">+C11*E11</f>
        <v>0.68</v>
      </c>
      <c r="G11" s="95"/>
    </row>
    <row r="12" spans="1:7" s="3" customFormat="1">
      <c r="A12" s="83" t="s">
        <v>57</v>
      </c>
      <c r="B12" s="81" t="s">
        <v>58</v>
      </c>
      <c r="C12" s="76">
        <v>10</v>
      </c>
      <c r="D12" s="1" t="s">
        <v>56</v>
      </c>
      <c r="E12" s="21">
        <f>+'з.пл. за 1 мин. '!G13</f>
        <v>0.04</v>
      </c>
      <c r="F12" s="21">
        <f t="shared" si="0"/>
        <v>0.4</v>
      </c>
      <c r="G12" s="95"/>
    </row>
    <row r="13" spans="1:7" s="3" customFormat="1">
      <c r="A13" s="83" t="s">
        <v>59</v>
      </c>
      <c r="B13" s="81" t="s">
        <v>60</v>
      </c>
      <c r="C13" s="76">
        <v>6</v>
      </c>
      <c r="D13" s="1" t="s">
        <v>56</v>
      </c>
      <c r="E13" s="21">
        <f>+'з.пл. за 1 мин. '!G13</f>
        <v>0.04</v>
      </c>
      <c r="F13" s="21">
        <f t="shared" si="0"/>
        <v>0.24</v>
      </c>
      <c r="G13" s="95"/>
    </row>
    <row r="14" spans="1:7" s="3" customFormat="1">
      <c r="A14" s="75" t="s">
        <v>62</v>
      </c>
      <c r="B14" s="309" t="s">
        <v>63</v>
      </c>
      <c r="C14" s="297"/>
      <c r="D14" s="297"/>
      <c r="E14" s="297"/>
      <c r="F14" s="298"/>
      <c r="G14" s="95"/>
    </row>
    <row r="15" spans="1:7" s="3" customFormat="1">
      <c r="A15" s="181" t="s">
        <v>65</v>
      </c>
      <c r="B15" s="81" t="s">
        <v>55</v>
      </c>
      <c r="C15" s="5">
        <v>147</v>
      </c>
      <c r="D15" s="1" t="s">
        <v>56</v>
      </c>
      <c r="E15" s="21">
        <f>+'з.пл. за 1 мин. '!G13</f>
        <v>0.04</v>
      </c>
      <c r="F15" s="21">
        <f t="shared" si="0"/>
        <v>5.88</v>
      </c>
      <c r="G15" s="27"/>
    </row>
    <row r="16" spans="1:7" s="3" customFormat="1">
      <c r="A16" s="181" t="s">
        <v>66</v>
      </c>
      <c r="B16" s="81" t="s">
        <v>58</v>
      </c>
      <c r="C16" s="5">
        <v>49</v>
      </c>
      <c r="D16" s="1" t="s">
        <v>56</v>
      </c>
      <c r="E16" s="21">
        <f>+'з.пл. за 1 мин. '!G13</f>
        <v>0.04</v>
      </c>
      <c r="F16" s="21">
        <f t="shared" si="0"/>
        <v>1.96</v>
      </c>
      <c r="G16" s="95"/>
    </row>
    <row r="17" spans="1:7" s="3" customFormat="1">
      <c r="A17" s="181" t="s">
        <v>67</v>
      </c>
      <c r="B17" s="81" t="s">
        <v>60</v>
      </c>
      <c r="C17" s="5">
        <v>27</v>
      </c>
      <c r="D17" s="1" t="s">
        <v>56</v>
      </c>
      <c r="E17" s="21">
        <f>+'з.пл. за 1 мин. '!G13</f>
        <v>0.04</v>
      </c>
      <c r="F17" s="21">
        <f t="shared" si="0"/>
        <v>1.08</v>
      </c>
      <c r="G17" s="27"/>
    </row>
    <row r="18" spans="1:7" s="3" customFormat="1" ht="25.5">
      <c r="A18" s="75" t="s">
        <v>68</v>
      </c>
      <c r="B18" s="80" t="s">
        <v>69</v>
      </c>
      <c r="C18" s="5">
        <v>55</v>
      </c>
      <c r="D18" s="1" t="s">
        <v>56</v>
      </c>
      <c r="E18" s="21">
        <f>+'з.пл. за 1 мин. '!G13</f>
        <v>0.04</v>
      </c>
      <c r="F18" s="21">
        <f t="shared" si="0"/>
        <v>2.2000000000000002</v>
      </c>
      <c r="G18" s="95"/>
    </row>
    <row r="19" spans="1:7" s="3" customFormat="1" ht="38.25">
      <c r="A19" s="75" t="s">
        <v>73</v>
      </c>
      <c r="B19" s="80" t="s">
        <v>74</v>
      </c>
      <c r="C19" s="5">
        <v>58</v>
      </c>
      <c r="D19" s="1" t="s">
        <v>56</v>
      </c>
      <c r="E19" s="21">
        <f>+'з.пл. за 1 мин. '!G13</f>
        <v>0.04</v>
      </c>
      <c r="F19" s="21">
        <f t="shared" si="0"/>
        <v>2.3199999999999998</v>
      </c>
      <c r="G19" s="27"/>
    </row>
    <row r="20" spans="1:7" s="3" customFormat="1" ht="38.25">
      <c r="A20" s="84" t="s">
        <v>78</v>
      </c>
      <c r="B20" s="78" t="s">
        <v>75</v>
      </c>
      <c r="C20" s="5">
        <v>11</v>
      </c>
      <c r="D20" s="79" t="s">
        <v>77</v>
      </c>
      <c r="E20" s="21">
        <f>+'з.пл. за 1 мин. '!G14</f>
        <v>0.05</v>
      </c>
      <c r="F20" s="21">
        <f t="shared" si="0"/>
        <v>0.55000000000000004</v>
      </c>
      <c r="G20" s="95"/>
    </row>
    <row r="21" spans="1:7" s="3" customFormat="1">
      <c r="A21" s="50"/>
      <c r="B21" s="14"/>
      <c r="C21" s="10"/>
      <c r="D21" s="10"/>
      <c r="E21" s="10"/>
      <c r="F21" s="10"/>
      <c r="G21" s="27"/>
    </row>
    <row r="22" spans="1:7" s="3" customFormat="1">
      <c r="A22" s="50"/>
      <c r="B22" s="14"/>
      <c r="C22" s="10"/>
      <c r="D22" s="10"/>
      <c r="E22" s="10"/>
      <c r="F22" s="10"/>
      <c r="G22" s="95"/>
    </row>
    <row r="23" spans="1:7" s="3" customFormat="1">
      <c r="A23" s="50"/>
      <c r="B23" s="14"/>
      <c r="C23" s="10"/>
      <c r="D23" s="10"/>
      <c r="E23" s="10"/>
      <c r="F23" s="10"/>
      <c r="G23" s="27"/>
    </row>
    <row r="24" spans="1:7" s="3" customFormat="1">
      <c r="A24" s="50"/>
      <c r="B24" s="100"/>
      <c r="C24" s="10"/>
      <c r="D24" s="10"/>
      <c r="E24" s="93"/>
      <c r="F24" s="10"/>
      <c r="G24" s="95"/>
    </row>
    <row r="25" spans="1:7" s="3" customFormat="1">
      <c r="A25" s="50"/>
      <c r="B25" s="14"/>
      <c r="C25" s="10"/>
      <c r="D25" s="10"/>
      <c r="E25" s="10"/>
      <c r="F25" s="10"/>
      <c r="G25" s="27"/>
    </row>
    <row r="26" spans="1:7" s="3" customFormat="1">
      <c r="A26" s="50"/>
      <c r="B26" s="14"/>
      <c r="C26" s="10"/>
      <c r="D26" s="10"/>
      <c r="E26" s="10"/>
      <c r="F26" s="10"/>
      <c r="G26" s="95"/>
    </row>
    <row r="27" spans="1:7" s="3" customFormat="1">
      <c r="A27" s="10"/>
      <c r="B27" s="14"/>
      <c r="C27" s="10"/>
      <c r="D27" s="10"/>
      <c r="E27" s="10"/>
      <c r="F27" s="10"/>
      <c r="G27" s="27"/>
    </row>
    <row r="28" spans="1:7" s="3" customFormat="1">
      <c r="A28" s="10"/>
      <c r="B28" s="14"/>
      <c r="C28" s="10"/>
      <c r="D28" s="10"/>
      <c r="E28" s="10"/>
      <c r="F28" s="10"/>
      <c r="G28" s="95"/>
    </row>
    <row r="29" spans="1:7" s="3" customFormat="1">
      <c r="A29" s="10"/>
      <c r="B29" s="14"/>
      <c r="C29" s="10"/>
      <c r="D29" s="10"/>
      <c r="E29" s="10"/>
      <c r="F29" s="10"/>
      <c r="G29" s="27"/>
    </row>
    <row r="30" spans="1:7" s="3" customFormat="1">
      <c r="A30" s="10"/>
      <c r="B30" s="14"/>
      <c r="C30" s="10"/>
      <c r="D30" s="10"/>
      <c r="E30" s="10"/>
      <c r="F30" s="10"/>
      <c r="G30" s="95"/>
    </row>
    <row r="31" spans="1:7" s="3" customFormat="1">
      <c r="A31" s="10"/>
      <c r="B31" s="14"/>
      <c r="C31" s="10"/>
      <c r="D31" s="10"/>
      <c r="E31" s="10"/>
      <c r="F31" s="10"/>
      <c r="G31" s="27"/>
    </row>
    <row r="32" spans="1:7" s="3" customFormat="1">
      <c r="A32" s="10"/>
      <c r="B32" s="14"/>
      <c r="C32" s="10"/>
      <c r="D32" s="10"/>
      <c r="E32" s="10"/>
      <c r="F32" s="10"/>
      <c r="G32" s="95"/>
    </row>
    <row r="33" spans="1:7" s="3" customFormat="1">
      <c r="A33" s="10"/>
      <c r="B33" s="14"/>
      <c r="C33" s="10"/>
      <c r="D33" s="10"/>
      <c r="E33" s="10"/>
      <c r="F33" s="10"/>
      <c r="G33" s="27"/>
    </row>
    <row r="34" spans="1:7" s="3" customFormat="1">
      <c r="A34" s="10"/>
      <c r="B34" s="14"/>
      <c r="C34" s="10"/>
      <c r="D34" s="10"/>
      <c r="E34" s="10"/>
      <c r="F34" s="10"/>
      <c r="G34" s="95"/>
    </row>
    <row r="35" spans="1:7" s="3" customFormat="1">
      <c r="A35" s="10"/>
      <c r="B35" s="14"/>
      <c r="C35" s="10"/>
      <c r="D35" s="10"/>
      <c r="E35" s="10"/>
      <c r="F35" s="10"/>
      <c r="G35" s="27"/>
    </row>
    <row r="36" spans="1:7" s="3" customFormat="1">
      <c r="A36" s="10"/>
      <c r="B36" s="14"/>
      <c r="C36" s="10"/>
      <c r="D36" s="10"/>
      <c r="E36" s="10"/>
      <c r="F36" s="10"/>
      <c r="G36" s="95"/>
    </row>
    <row r="37" spans="1:7" s="3" customFormat="1">
      <c r="A37" s="10"/>
      <c r="B37" s="14"/>
      <c r="C37" s="10"/>
      <c r="D37" s="10"/>
      <c r="E37" s="10"/>
      <c r="F37" s="10"/>
      <c r="G37" s="27"/>
    </row>
    <row r="38" spans="1:7" s="3" customFormat="1">
      <c r="A38" s="10"/>
      <c r="B38" s="14"/>
      <c r="C38" s="10"/>
      <c r="D38" s="10"/>
      <c r="E38" s="10"/>
      <c r="F38" s="10"/>
      <c r="G38" s="95"/>
    </row>
    <row r="39" spans="1:7" s="3" customFormat="1">
      <c r="A39" s="10"/>
      <c r="B39" s="14"/>
      <c r="C39" s="10"/>
      <c r="D39" s="10"/>
      <c r="E39" s="10"/>
      <c r="F39" s="10"/>
      <c r="G39" s="27"/>
    </row>
    <row r="40" spans="1:7" s="3" customFormat="1">
      <c r="A40" s="10"/>
      <c r="B40" s="14"/>
      <c r="C40" s="10"/>
      <c r="D40" s="10"/>
      <c r="E40" s="10"/>
      <c r="F40" s="10"/>
      <c r="G40" s="95"/>
    </row>
    <row r="41" spans="1:7" s="3" customFormat="1">
      <c r="A41" s="10"/>
      <c r="B41" s="14"/>
      <c r="C41" s="10"/>
      <c r="D41" s="10"/>
      <c r="E41" s="10"/>
      <c r="F41" s="10"/>
    </row>
    <row r="42" spans="1:7" s="3" customFormat="1">
      <c r="A42" s="10"/>
      <c r="B42" s="14"/>
      <c r="C42" s="10"/>
      <c r="D42" s="10"/>
      <c r="E42" s="10"/>
      <c r="F42" s="10"/>
    </row>
    <row r="43" spans="1:7" s="3" customFormat="1">
      <c r="A43" s="10"/>
      <c r="B43" s="14"/>
      <c r="C43" s="10"/>
      <c r="D43" s="10"/>
      <c r="E43" s="10"/>
      <c r="F43" s="10"/>
    </row>
    <row r="44" spans="1:7" s="3" customFormat="1">
      <c r="A44" s="10"/>
      <c r="B44" s="14"/>
      <c r="C44" s="10"/>
      <c r="D44" s="10"/>
      <c r="E44" s="10"/>
      <c r="F44" s="10"/>
    </row>
    <row r="45" spans="1:7" s="3" customFormat="1">
      <c r="A45" s="10"/>
      <c r="B45" s="14"/>
      <c r="C45" s="10"/>
      <c r="D45" s="10"/>
      <c r="E45" s="10"/>
      <c r="F45" s="10"/>
    </row>
    <row r="46" spans="1:7" s="3" customFormat="1">
      <c r="A46" s="10"/>
      <c r="B46" s="14"/>
      <c r="C46" s="10"/>
      <c r="D46" s="10"/>
      <c r="E46" s="10"/>
      <c r="F46" s="10"/>
    </row>
    <row r="47" spans="1:7" s="3" customFormat="1">
      <c r="A47" s="10"/>
      <c r="B47" s="14"/>
      <c r="C47" s="10"/>
      <c r="D47" s="10"/>
      <c r="E47" s="10"/>
      <c r="F47" s="10"/>
    </row>
    <row r="48" spans="1:7">
      <c r="A48" s="8"/>
      <c r="F48" s="9"/>
    </row>
    <row r="49" spans="1:6" ht="25.5" customHeight="1">
      <c r="A49" s="8"/>
      <c r="F49" s="3"/>
    </row>
  </sheetData>
  <mergeCells count="8">
    <mergeCell ref="E2:F2"/>
    <mergeCell ref="B3:F3"/>
    <mergeCell ref="B10:F10"/>
    <mergeCell ref="B14:F14"/>
    <mergeCell ref="A4:F4"/>
    <mergeCell ref="A5:F5"/>
    <mergeCell ref="A6:F6"/>
    <mergeCell ref="A7:F7"/>
  </mergeCells>
  <phoneticPr fontId="0" type="noConversion"/>
  <pageMargins left="0.38" right="0.27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W40"/>
  <sheetViews>
    <sheetView topLeftCell="A4" workbookViewId="0">
      <selection activeCell="H38" sqref="H38"/>
    </sheetView>
  </sheetViews>
  <sheetFormatPr defaultRowHeight="12.75"/>
  <cols>
    <col min="1" max="1" width="4.85546875" style="26" customWidth="1"/>
    <col min="2" max="2" width="16.140625" customWidth="1"/>
    <col min="3" max="3" width="6.42578125" style="41" customWidth="1"/>
    <col min="4" max="4" width="8" customWidth="1"/>
    <col min="5" max="6" width="7.28515625" customWidth="1"/>
    <col min="7" max="7" width="8.85546875" customWidth="1"/>
    <col min="8" max="8" width="7.7109375" customWidth="1"/>
    <col min="9" max="9" width="7.85546875" customWidth="1"/>
    <col min="10" max="10" width="8.140625" customWidth="1"/>
    <col min="11" max="11" width="3.7109375" customWidth="1"/>
    <col min="12" max="12" width="8.85546875" customWidth="1"/>
    <col min="13" max="13" width="7.42578125" customWidth="1"/>
    <col min="14" max="14" width="7.85546875" customWidth="1"/>
    <col min="15" max="15" width="4.85546875" customWidth="1"/>
    <col min="16" max="16" width="7" customWidth="1"/>
    <col min="17" max="17" width="7.42578125" customWidth="1"/>
    <col min="18" max="18" width="9.140625" style="61"/>
    <col min="19" max="19" width="14.85546875" style="61" customWidth="1"/>
    <col min="20" max="23" width="9.140625" style="61"/>
  </cols>
  <sheetData>
    <row r="2" spans="1:23">
      <c r="H2" s="70"/>
    </row>
    <row r="3" spans="1:23">
      <c r="H3" s="70"/>
    </row>
    <row r="4" spans="1:23">
      <c r="H4" s="70"/>
    </row>
    <row r="5" spans="1:23">
      <c r="H5" s="70"/>
    </row>
    <row r="6" spans="1:23">
      <c r="H6" s="70"/>
      <c r="N6" s="279" t="s">
        <v>319</v>
      </c>
      <c r="O6" s="280"/>
      <c r="P6" s="280"/>
      <c r="Q6" s="280"/>
    </row>
    <row r="7" spans="1:23" ht="25.5" customHeight="1">
      <c r="A7" s="281" t="s">
        <v>48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</row>
    <row r="8" spans="1:23" ht="13.5" customHeight="1">
      <c r="B8" s="310" t="s">
        <v>322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</row>
    <row r="9" spans="1:23" ht="22.5" customHeight="1"/>
    <row r="10" spans="1:23" ht="14.25" customHeight="1">
      <c r="E10" s="180">
        <f>'Расчет доп. ФОТ '!C7</f>
        <v>11</v>
      </c>
      <c r="I10" s="234">
        <f>' накл. расходы2017 '!C34</f>
        <v>172.03</v>
      </c>
    </row>
    <row r="11" spans="1:23" s="48" customFormat="1" ht="162.75" customHeight="1">
      <c r="A11" s="47" t="s">
        <v>0</v>
      </c>
      <c r="B11" s="49" t="s">
        <v>39</v>
      </c>
      <c r="C11" s="46" t="s">
        <v>19</v>
      </c>
      <c r="D11" s="47" t="s">
        <v>47</v>
      </c>
      <c r="E11" s="47" t="s">
        <v>45</v>
      </c>
      <c r="F11" s="47" t="s">
        <v>46</v>
      </c>
      <c r="G11" s="59" t="s">
        <v>49</v>
      </c>
      <c r="H11" s="60" t="s">
        <v>50</v>
      </c>
      <c r="I11" s="46" t="s">
        <v>40</v>
      </c>
      <c r="J11" s="47" t="s">
        <v>2</v>
      </c>
      <c r="K11" s="46" t="s">
        <v>3</v>
      </c>
      <c r="L11" s="47" t="s">
        <v>4</v>
      </c>
      <c r="M11" s="59" t="s">
        <v>160</v>
      </c>
      <c r="N11" s="47" t="s">
        <v>41</v>
      </c>
      <c r="O11" s="47" t="s">
        <v>42</v>
      </c>
      <c r="P11" s="47" t="s">
        <v>43</v>
      </c>
      <c r="Q11" s="47" t="s">
        <v>44</v>
      </c>
      <c r="R11" s="62"/>
      <c r="S11" s="312" t="s">
        <v>51</v>
      </c>
      <c r="T11" s="313"/>
      <c r="U11" s="313"/>
      <c r="V11" s="313"/>
      <c r="W11" s="62"/>
    </row>
    <row r="12" spans="1:23" s="48" customFormat="1" ht="17.25" customHeight="1">
      <c r="A12" s="71" t="s">
        <v>111</v>
      </c>
      <c r="B12" s="315" t="s">
        <v>112</v>
      </c>
      <c r="C12" s="316"/>
      <c r="D12" s="316"/>
      <c r="E12" s="316"/>
      <c r="F12" s="316"/>
      <c r="G12" s="316"/>
      <c r="H12" s="316"/>
      <c r="I12" s="316"/>
      <c r="J12" s="317"/>
      <c r="K12" s="317"/>
      <c r="L12" s="317"/>
      <c r="M12" s="317"/>
      <c r="N12" s="317"/>
      <c r="O12" s="317"/>
      <c r="P12" s="317"/>
      <c r="Q12" s="317"/>
      <c r="R12" s="62"/>
      <c r="S12" s="67"/>
      <c r="T12" s="68"/>
      <c r="U12" s="68"/>
      <c r="V12" s="68"/>
      <c r="W12" s="62"/>
    </row>
    <row r="13" spans="1:23" s="16" customFormat="1" ht="37.5" customHeight="1">
      <c r="A13" s="181" t="s">
        <v>113</v>
      </c>
      <c r="B13" s="72" t="s">
        <v>114</v>
      </c>
      <c r="C13" s="110" t="s">
        <v>70</v>
      </c>
      <c r="D13" s="217">
        <f>зпл.дезинф.!F10</f>
        <v>1.68</v>
      </c>
      <c r="E13" s="217">
        <f>$D13*$E$10/100</f>
        <v>0.18</v>
      </c>
      <c r="F13" s="217">
        <f>+G13+H13</f>
        <v>0.66</v>
      </c>
      <c r="G13" s="217">
        <f>($D13+$E13)*34%</f>
        <v>0.63</v>
      </c>
      <c r="H13" s="217">
        <f>($D13+$E13)*1.58%</f>
        <v>0.03</v>
      </c>
      <c r="I13" s="217">
        <f>$D13*$I$10/100</f>
        <v>2.89</v>
      </c>
      <c r="J13" s="217">
        <f>+D13+E13+F13+I13</f>
        <v>5.41</v>
      </c>
      <c r="K13" s="44">
        <v>30</v>
      </c>
      <c r="L13" s="217">
        <f>+J13*K13/100+J13</f>
        <v>7.03</v>
      </c>
      <c r="M13" s="217">
        <f>$L13*3/97</f>
        <v>0.22</v>
      </c>
      <c r="N13" s="217">
        <f>+L13+M13</f>
        <v>7.25</v>
      </c>
      <c r="O13" s="218">
        <v>20</v>
      </c>
      <c r="P13" s="217">
        <f>+N13*O13/100</f>
        <v>1.45</v>
      </c>
      <c r="Q13" s="217">
        <f>+N13+P13</f>
        <v>8.6999999999999993</v>
      </c>
      <c r="R13" s="61"/>
      <c r="S13" s="61"/>
      <c r="T13" s="61"/>
      <c r="U13" s="61"/>
      <c r="V13" s="61"/>
      <c r="W13" s="61"/>
    </row>
    <row r="14" spans="1:23" s="16" customFormat="1" ht="16.5" hidden="1" customHeight="1">
      <c r="A14" s="187"/>
      <c r="B14" s="43"/>
      <c r="C14" s="45"/>
      <c r="D14" s="217"/>
      <c r="E14" s="217">
        <f t="shared" ref="E14:E20" si="0">$D14*$E$10/100</f>
        <v>0</v>
      </c>
      <c r="F14" s="217"/>
      <c r="G14" s="217">
        <f t="shared" ref="G14:G20" si="1">($D14+$E14)*34%</f>
        <v>0</v>
      </c>
      <c r="H14" s="217">
        <f t="shared" ref="H14:H20" si="2">($D14+$E14)*1.58%</f>
        <v>0</v>
      </c>
      <c r="I14" s="217">
        <f t="shared" ref="I14:I20" si="3">$D14*$I$10/100</f>
        <v>0</v>
      </c>
      <c r="J14" s="217">
        <f t="shared" ref="J14:J23" si="4">+D14+E14+F14+I14</f>
        <v>0</v>
      </c>
      <c r="K14" s="44">
        <v>16</v>
      </c>
      <c r="L14" s="217">
        <f t="shared" ref="L14:L23" si="5">+J14*K14/100+J14</f>
        <v>0</v>
      </c>
      <c r="M14" s="217">
        <f t="shared" ref="M14:M36" si="6">$L14*3/97</f>
        <v>0</v>
      </c>
      <c r="N14" s="217">
        <f t="shared" ref="N14:N23" si="7">+L14+M14</f>
        <v>0</v>
      </c>
      <c r="O14" s="218">
        <v>19</v>
      </c>
      <c r="P14" s="217">
        <f t="shared" ref="P14:P23" si="8">+N14*O14/100</f>
        <v>0</v>
      </c>
      <c r="Q14" s="217">
        <f t="shared" ref="Q14:Q23" si="9">+N14+P14</f>
        <v>0</v>
      </c>
      <c r="R14" s="61"/>
      <c r="S14" s="61"/>
      <c r="T14" s="61"/>
      <c r="U14" s="61"/>
      <c r="V14" s="61"/>
      <c r="W14" s="61"/>
    </row>
    <row r="15" spans="1:23" s="16" customFormat="1" ht="42.75" customHeight="1">
      <c r="A15" s="181" t="s">
        <v>115</v>
      </c>
      <c r="B15" s="72" t="s">
        <v>116</v>
      </c>
      <c r="C15" s="110" t="s">
        <v>70</v>
      </c>
      <c r="D15" s="217">
        <f>SUM(зпл.дезинф.!F11)</f>
        <v>2.8</v>
      </c>
      <c r="E15" s="217">
        <f t="shared" si="0"/>
        <v>0.31</v>
      </c>
      <c r="F15" s="217">
        <f>+G15+H15</f>
        <v>1.1100000000000001</v>
      </c>
      <c r="G15" s="217">
        <f t="shared" si="1"/>
        <v>1.06</v>
      </c>
      <c r="H15" s="217">
        <f t="shared" si="2"/>
        <v>0.05</v>
      </c>
      <c r="I15" s="217">
        <f t="shared" si="3"/>
        <v>4.82</v>
      </c>
      <c r="J15" s="217">
        <f t="shared" si="4"/>
        <v>9.0399999999999991</v>
      </c>
      <c r="K15" s="44">
        <v>30</v>
      </c>
      <c r="L15" s="217">
        <f t="shared" si="5"/>
        <v>11.75</v>
      </c>
      <c r="M15" s="217">
        <f t="shared" si="6"/>
        <v>0.36</v>
      </c>
      <c r="N15" s="217">
        <f t="shared" si="7"/>
        <v>12.11</v>
      </c>
      <c r="O15" s="218">
        <v>20</v>
      </c>
      <c r="P15" s="217">
        <f t="shared" si="8"/>
        <v>2.42</v>
      </c>
      <c r="Q15" s="217">
        <f t="shared" si="9"/>
        <v>14.53</v>
      </c>
      <c r="R15" s="61"/>
      <c r="S15" s="61"/>
      <c r="T15" s="61"/>
      <c r="U15" s="61"/>
      <c r="V15" s="61"/>
      <c r="W15" s="61"/>
    </row>
    <row r="16" spans="1:23" s="16" customFormat="1" ht="77.25" customHeight="1">
      <c r="A16" s="181" t="s">
        <v>117</v>
      </c>
      <c r="B16" s="72" t="s">
        <v>118</v>
      </c>
      <c r="C16" s="110" t="s">
        <v>70</v>
      </c>
      <c r="D16" s="217">
        <f>SUM(зпл.дезинф.!F12)</f>
        <v>3.36</v>
      </c>
      <c r="E16" s="217">
        <f t="shared" si="0"/>
        <v>0.37</v>
      </c>
      <c r="F16" s="217">
        <f>+G16+H16</f>
        <v>1.33</v>
      </c>
      <c r="G16" s="217">
        <f t="shared" si="1"/>
        <v>1.27</v>
      </c>
      <c r="H16" s="217">
        <f t="shared" si="2"/>
        <v>0.06</v>
      </c>
      <c r="I16" s="217">
        <f t="shared" si="3"/>
        <v>5.78</v>
      </c>
      <c r="J16" s="217">
        <f t="shared" si="4"/>
        <v>10.84</v>
      </c>
      <c r="K16" s="44">
        <v>30</v>
      </c>
      <c r="L16" s="217">
        <f t="shared" si="5"/>
        <v>14.09</v>
      </c>
      <c r="M16" s="217">
        <f t="shared" si="6"/>
        <v>0.44</v>
      </c>
      <c r="N16" s="217">
        <f t="shared" si="7"/>
        <v>14.53</v>
      </c>
      <c r="O16" s="218">
        <v>20</v>
      </c>
      <c r="P16" s="217">
        <f t="shared" si="8"/>
        <v>2.91</v>
      </c>
      <c r="Q16" s="217">
        <f t="shared" si="9"/>
        <v>17.440000000000001</v>
      </c>
      <c r="R16" s="61"/>
      <c r="S16" s="61"/>
      <c r="T16" s="61"/>
      <c r="U16" s="61"/>
      <c r="V16" s="61"/>
      <c r="W16" s="61"/>
    </row>
    <row r="17" spans="1:17" hidden="1">
      <c r="A17" s="188"/>
      <c r="D17" s="224">
        <f>+зпл.дерат.!G15</f>
        <v>0</v>
      </c>
      <c r="E17" s="217">
        <f t="shared" si="0"/>
        <v>0</v>
      </c>
      <c r="F17" s="219"/>
      <c r="G17" s="217">
        <f t="shared" si="1"/>
        <v>0</v>
      </c>
      <c r="H17" s="217">
        <f t="shared" si="2"/>
        <v>0</v>
      </c>
      <c r="I17" s="217">
        <f t="shared" si="3"/>
        <v>0</v>
      </c>
      <c r="J17" s="224">
        <f t="shared" si="4"/>
        <v>0</v>
      </c>
      <c r="K17" s="58">
        <v>20</v>
      </c>
      <c r="L17" s="225">
        <f t="shared" si="5"/>
        <v>0</v>
      </c>
      <c r="M17" s="217">
        <f t="shared" si="6"/>
        <v>0</v>
      </c>
      <c r="N17" s="225">
        <f t="shared" si="7"/>
        <v>0</v>
      </c>
      <c r="O17" s="226">
        <v>23</v>
      </c>
      <c r="P17" s="225">
        <f t="shared" si="8"/>
        <v>0</v>
      </c>
      <c r="Q17" s="225">
        <f t="shared" si="9"/>
        <v>0</v>
      </c>
    </row>
    <row r="18" spans="1:17" ht="78.75">
      <c r="A18" s="181" t="s">
        <v>119</v>
      </c>
      <c r="B18" s="72" t="s">
        <v>120</v>
      </c>
      <c r="C18" s="110" t="s">
        <v>70</v>
      </c>
      <c r="D18" s="217">
        <f>SUM(зпл.дезинф.!F13)</f>
        <v>4.2</v>
      </c>
      <c r="E18" s="217">
        <f t="shared" si="0"/>
        <v>0.46</v>
      </c>
      <c r="F18" s="217">
        <f>+G18+H18</f>
        <v>1.65</v>
      </c>
      <c r="G18" s="217">
        <f t="shared" si="1"/>
        <v>1.58</v>
      </c>
      <c r="H18" s="217">
        <f t="shared" si="2"/>
        <v>7.0000000000000007E-2</v>
      </c>
      <c r="I18" s="217">
        <f t="shared" si="3"/>
        <v>7.23</v>
      </c>
      <c r="J18" s="217">
        <f>+D18+E18+F18+I18</f>
        <v>13.54</v>
      </c>
      <c r="K18" s="44">
        <v>30</v>
      </c>
      <c r="L18" s="217">
        <f>+J18*K18/100+J18</f>
        <v>17.600000000000001</v>
      </c>
      <c r="M18" s="217">
        <f t="shared" si="6"/>
        <v>0.54</v>
      </c>
      <c r="N18" s="217">
        <f>+L18+M18</f>
        <v>18.14</v>
      </c>
      <c r="O18" s="218">
        <v>20</v>
      </c>
      <c r="P18" s="217">
        <f>+N18*O18/100</f>
        <v>3.63</v>
      </c>
      <c r="Q18" s="217">
        <f>+N18+P18</f>
        <v>21.77</v>
      </c>
    </row>
    <row r="19" spans="1:17" ht="51">
      <c r="A19" s="181" t="s">
        <v>121</v>
      </c>
      <c r="B19" s="89" t="s">
        <v>123</v>
      </c>
      <c r="C19" s="110" t="s">
        <v>70</v>
      </c>
      <c r="D19" s="217">
        <f>SUM(зпл.дезинф.!F14)</f>
        <v>3.36</v>
      </c>
      <c r="E19" s="217">
        <f t="shared" si="0"/>
        <v>0.37</v>
      </c>
      <c r="F19" s="217">
        <f>+G19+H19</f>
        <v>1.33</v>
      </c>
      <c r="G19" s="217">
        <f t="shared" si="1"/>
        <v>1.27</v>
      </c>
      <c r="H19" s="217">
        <f t="shared" si="2"/>
        <v>0.06</v>
      </c>
      <c r="I19" s="217">
        <f t="shared" si="3"/>
        <v>5.78</v>
      </c>
      <c r="J19" s="217">
        <f>+D19+E19+F19+I19</f>
        <v>10.84</v>
      </c>
      <c r="K19" s="44">
        <v>30</v>
      </c>
      <c r="L19" s="217">
        <f>+J19*K19/100+J19</f>
        <v>14.09</v>
      </c>
      <c r="M19" s="217">
        <f t="shared" si="6"/>
        <v>0.44</v>
      </c>
      <c r="N19" s="217">
        <f>+L19+M19</f>
        <v>14.53</v>
      </c>
      <c r="O19" s="218">
        <v>20</v>
      </c>
      <c r="P19" s="217">
        <f>+N19*O19/100</f>
        <v>2.91</v>
      </c>
      <c r="Q19" s="217">
        <f>+N19+P19</f>
        <v>17.440000000000001</v>
      </c>
    </row>
    <row r="20" spans="1:17" ht="51">
      <c r="A20" s="181" t="s">
        <v>122</v>
      </c>
      <c r="B20" s="89" t="s">
        <v>124</v>
      </c>
      <c r="C20" s="110" t="s">
        <v>70</v>
      </c>
      <c r="D20" s="217">
        <f>SUM(зпл.дезинф.!F15)</f>
        <v>5.6</v>
      </c>
      <c r="E20" s="217">
        <f t="shared" si="0"/>
        <v>0.62</v>
      </c>
      <c r="F20" s="217">
        <f>+G20+H20</f>
        <v>2.21</v>
      </c>
      <c r="G20" s="217">
        <f t="shared" si="1"/>
        <v>2.11</v>
      </c>
      <c r="H20" s="217">
        <f t="shared" si="2"/>
        <v>0.1</v>
      </c>
      <c r="I20" s="217">
        <f t="shared" si="3"/>
        <v>9.6300000000000008</v>
      </c>
      <c r="J20" s="217">
        <f>+D20+E20+F20+I20</f>
        <v>18.059999999999999</v>
      </c>
      <c r="K20" s="44">
        <v>30</v>
      </c>
      <c r="L20" s="217">
        <f>+J20*K20/100+J20</f>
        <v>23.48</v>
      </c>
      <c r="M20" s="217">
        <f t="shared" si="6"/>
        <v>0.73</v>
      </c>
      <c r="N20" s="217">
        <f>+L20+M20</f>
        <v>24.21</v>
      </c>
      <c r="O20" s="218">
        <v>20</v>
      </c>
      <c r="P20" s="217">
        <f>+N20*O20/100</f>
        <v>4.84</v>
      </c>
      <c r="Q20" s="217">
        <f>+N20+P20</f>
        <v>29.05</v>
      </c>
    </row>
    <row r="21" spans="1:17" ht="26.25" customHeight="1">
      <c r="A21" s="75" t="s">
        <v>125</v>
      </c>
      <c r="B21" s="287" t="s">
        <v>126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</row>
    <row r="22" spans="1:17" ht="51">
      <c r="A22" s="181" t="s">
        <v>127</v>
      </c>
      <c r="B22" s="72" t="s">
        <v>55</v>
      </c>
      <c r="C22" s="110" t="s">
        <v>70</v>
      </c>
      <c r="D22" s="217">
        <f>SUM(зпл.дезинф.!F17)</f>
        <v>4.2</v>
      </c>
      <c r="E22" s="217">
        <f>$D22*$E$10/100</f>
        <v>0.46</v>
      </c>
      <c r="F22" s="217">
        <f>+G22+H22</f>
        <v>1.65</v>
      </c>
      <c r="G22" s="217">
        <f>($D22+$E22)*34%</f>
        <v>1.58</v>
      </c>
      <c r="H22" s="217">
        <f>($D22+$E22)*1.58%</f>
        <v>7.0000000000000007E-2</v>
      </c>
      <c r="I22" s="217">
        <f>$D22*$I$10/100</f>
        <v>7.23</v>
      </c>
      <c r="J22" s="217">
        <f t="shared" si="4"/>
        <v>13.54</v>
      </c>
      <c r="K22" s="44">
        <v>30</v>
      </c>
      <c r="L22" s="217">
        <f t="shared" si="5"/>
        <v>17.600000000000001</v>
      </c>
      <c r="M22" s="217">
        <f t="shared" si="6"/>
        <v>0.54</v>
      </c>
      <c r="N22" s="217">
        <f t="shared" si="7"/>
        <v>18.14</v>
      </c>
      <c r="O22" s="44">
        <v>20</v>
      </c>
      <c r="P22" s="217">
        <f t="shared" si="8"/>
        <v>3.63</v>
      </c>
      <c r="Q22" s="217">
        <f t="shared" si="9"/>
        <v>21.77</v>
      </c>
    </row>
    <row r="23" spans="1:17" hidden="1">
      <c r="A23" s="185"/>
      <c r="D23" s="224">
        <f>+зпл.дерат.!G17</f>
        <v>0</v>
      </c>
      <c r="E23" s="217">
        <f t="shared" ref="E23:E24" si="10">$D23*$E$10/100</f>
        <v>0</v>
      </c>
      <c r="F23" s="219"/>
      <c r="G23" s="217">
        <f t="shared" ref="G23:G28" si="11">($D23+$E23)*34%</f>
        <v>0</v>
      </c>
      <c r="H23" s="217">
        <f t="shared" ref="H23:H36" si="12">($D23+$E23)*1.58%</f>
        <v>0</v>
      </c>
      <c r="I23" s="217">
        <f t="shared" ref="I23:I28" si="13">$D23*$I$10/100</f>
        <v>0</v>
      </c>
      <c r="J23" s="224">
        <f t="shared" si="4"/>
        <v>0</v>
      </c>
      <c r="K23" s="58">
        <v>17</v>
      </c>
      <c r="L23" s="227">
        <f t="shared" si="5"/>
        <v>0</v>
      </c>
      <c r="M23" s="217">
        <f t="shared" si="6"/>
        <v>0</v>
      </c>
      <c r="N23" s="227">
        <f t="shared" si="7"/>
        <v>0</v>
      </c>
      <c r="O23" s="54">
        <v>25</v>
      </c>
      <c r="P23" s="227">
        <f t="shared" si="8"/>
        <v>0</v>
      </c>
      <c r="Q23" s="227">
        <f t="shared" si="9"/>
        <v>0</v>
      </c>
    </row>
    <row r="24" spans="1:17" ht="79.5" customHeight="1">
      <c r="A24" s="181" t="s">
        <v>128</v>
      </c>
      <c r="B24" s="72" t="s">
        <v>129</v>
      </c>
      <c r="C24" s="69" t="s">
        <v>71</v>
      </c>
      <c r="D24" s="217">
        <f>SUM(зпл.дезинф.!F18)</f>
        <v>5.6</v>
      </c>
      <c r="E24" s="217">
        <f t="shared" si="10"/>
        <v>0.62</v>
      </c>
      <c r="F24" s="217">
        <f>+G24+H24</f>
        <v>2.21</v>
      </c>
      <c r="G24" s="217">
        <f t="shared" si="11"/>
        <v>2.11</v>
      </c>
      <c r="H24" s="217">
        <f t="shared" si="12"/>
        <v>0.1</v>
      </c>
      <c r="I24" s="217">
        <f t="shared" si="13"/>
        <v>9.6300000000000008</v>
      </c>
      <c r="J24" s="217">
        <f>+D24+E24+F24+I24</f>
        <v>18.059999999999999</v>
      </c>
      <c r="K24" s="44">
        <v>30</v>
      </c>
      <c r="L24" s="217">
        <f>+J24*K24/100+J24</f>
        <v>23.48</v>
      </c>
      <c r="M24" s="217">
        <f t="shared" si="6"/>
        <v>0.73</v>
      </c>
      <c r="N24" s="217">
        <f>+L24+M24</f>
        <v>24.21</v>
      </c>
      <c r="O24" s="44">
        <v>20</v>
      </c>
      <c r="P24" s="217">
        <f>+N24*O24/100</f>
        <v>4.84</v>
      </c>
      <c r="Q24" s="217">
        <f>+N24+P24</f>
        <v>29.05</v>
      </c>
    </row>
    <row r="25" spans="1:17" ht="47.25" customHeight="1">
      <c r="A25" s="181" t="s">
        <v>130</v>
      </c>
      <c r="B25" s="72" t="s">
        <v>131</v>
      </c>
      <c r="C25" s="88" t="s">
        <v>71</v>
      </c>
      <c r="D25" s="217">
        <f>SUM(зпл.дезинф.!F19)</f>
        <v>2.4</v>
      </c>
      <c r="E25" s="217">
        <f>$D25*$E$10/100</f>
        <v>0.26</v>
      </c>
      <c r="F25" s="217">
        <f>+G25+H25</f>
        <v>0.94</v>
      </c>
      <c r="G25" s="217">
        <f t="shared" si="11"/>
        <v>0.9</v>
      </c>
      <c r="H25" s="217">
        <f t="shared" si="12"/>
        <v>0.04</v>
      </c>
      <c r="I25" s="217">
        <f t="shared" si="13"/>
        <v>4.13</v>
      </c>
      <c r="J25" s="217">
        <f>+D25+E25+F25+I25</f>
        <v>7.73</v>
      </c>
      <c r="K25" s="44">
        <v>30</v>
      </c>
      <c r="L25" s="217">
        <f>+J25*K25/100+J25</f>
        <v>10.050000000000001</v>
      </c>
      <c r="M25" s="217">
        <f t="shared" si="6"/>
        <v>0.31</v>
      </c>
      <c r="N25" s="217">
        <f>+L25+M25</f>
        <v>10.36</v>
      </c>
      <c r="O25" s="44">
        <v>20</v>
      </c>
      <c r="P25" s="217">
        <f>+N25*O25/100</f>
        <v>2.0699999999999998</v>
      </c>
      <c r="Q25" s="217">
        <f>+N25+P25</f>
        <v>12.43</v>
      </c>
    </row>
    <row r="26" spans="1:17" hidden="1">
      <c r="A26" s="51"/>
      <c r="B26" s="61"/>
      <c r="C26" s="63"/>
      <c r="D26" s="229"/>
      <c r="E26" s="217">
        <f t="shared" ref="E26:E28" si="14">$D26*$E$10/100</f>
        <v>0</v>
      </c>
      <c r="F26" s="229"/>
      <c r="G26" s="217">
        <f t="shared" si="11"/>
        <v>0</v>
      </c>
      <c r="H26" s="217">
        <f t="shared" si="12"/>
        <v>0</v>
      </c>
      <c r="I26" s="217">
        <f t="shared" si="13"/>
        <v>0</v>
      </c>
      <c r="J26" s="229"/>
      <c r="K26" s="65"/>
      <c r="L26" s="229"/>
      <c r="M26" s="217">
        <f t="shared" si="6"/>
        <v>0</v>
      </c>
      <c r="N26" s="229"/>
      <c r="O26" s="65"/>
      <c r="P26" s="229"/>
      <c r="Q26" s="229"/>
    </row>
    <row r="27" spans="1:17" hidden="1">
      <c r="B27" s="61"/>
      <c r="C27" s="63"/>
      <c r="D27" s="229"/>
      <c r="E27" s="217">
        <f t="shared" si="14"/>
        <v>0</v>
      </c>
      <c r="F27" s="229"/>
      <c r="G27" s="217">
        <f t="shared" si="11"/>
        <v>0</v>
      </c>
      <c r="H27" s="217">
        <f t="shared" si="12"/>
        <v>0</v>
      </c>
      <c r="I27" s="217">
        <f t="shared" si="13"/>
        <v>0</v>
      </c>
      <c r="J27" s="229"/>
      <c r="K27" s="61"/>
      <c r="L27" s="229"/>
      <c r="M27" s="217">
        <f t="shared" si="6"/>
        <v>0</v>
      </c>
      <c r="N27" s="229"/>
      <c r="O27" s="65"/>
      <c r="P27" s="229"/>
      <c r="Q27" s="229"/>
    </row>
    <row r="28" spans="1:17" ht="67.5" customHeight="1">
      <c r="A28" s="75" t="s">
        <v>132</v>
      </c>
      <c r="B28" s="94" t="s">
        <v>151</v>
      </c>
      <c r="C28" s="111" t="s">
        <v>71</v>
      </c>
      <c r="D28" s="217">
        <f>SUM(зпл.дезинф.!F20)</f>
        <v>2.2400000000000002</v>
      </c>
      <c r="E28" s="217">
        <f t="shared" si="14"/>
        <v>0.25</v>
      </c>
      <c r="F28" s="217">
        <f>+G28+H28</f>
        <v>0.89</v>
      </c>
      <c r="G28" s="217">
        <f t="shared" si="11"/>
        <v>0.85</v>
      </c>
      <c r="H28" s="217">
        <f t="shared" si="12"/>
        <v>0.04</v>
      </c>
      <c r="I28" s="217">
        <f t="shared" si="13"/>
        <v>3.85</v>
      </c>
      <c r="J28" s="217">
        <f>+D28+E28+F28+I28</f>
        <v>7.23</v>
      </c>
      <c r="K28" s="44">
        <v>30</v>
      </c>
      <c r="L28" s="217">
        <f>+J28*K28/100+J28</f>
        <v>9.4</v>
      </c>
      <c r="M28" s="217">
        <f t="shared" si="6"/>
        <v>0.28999999999999998</v>
      </c>
      <c r="N28" s="217">
        <f>+L28+M28</f>
        <v>9.69</v>
      </c>
      <c r="O28" s="44">
        <v>20</v>
      </c>
      <c r="P28" s="217">
        <f>+N28*O28/100</f>
        <v>1.94</v>
      </c>
      <c r="Q28" s="217">
        <f>+N28+P28</f>
        <v>11.63</v>
      </c>
    </row>
    <row r="29" spans="1:17" ht="18.75" customHeight="1">
      <c r="A29" s="75" t="s">
        <v>134</v>
      </c>
      <c r="B29" s="314" t="s">
        <v>135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</row>
    <row r="30" spans="1:17" ht="92.25" customHeight="1">
      <c r="A30" s="181" t="s">
        <v>136</v>
      </c>
      <c r="B30" s="72" t="s">
        <v>137</v>
      </c>
      <c r="C30" s="110" t="s">
        <v>138</v>
      </c>
      <c r="D30" s="217">
        <f>SUM(зпл.дезинф.!F22)</f>
        <v>5.08</v>
      </c>
      <c r="E30" s="217">
        <f>$D30*$E$10/100</f>
        <v>0.56000000000000005</v>
      </c>
      <c r="F30" s="217">
        <f>+G30+H30</f>
        <v>2.0099999999999998</v>
      </c>
      <c r="G30" s="217">
        <f>($D30+$E30)*34%</f>
        <v>1.92</v>
      </c>
      <c r="H30" s="217">
        <f t="shared" si="12"/>
        <v>0.09</v>
      </c>
      <c r="I30" s="217">
        <f>$D30*$I$10/100</f>
        <v>8.74</v>
      </c>
      <c r="J30" s="217">
        <f>+D30+E30+F30+I30</f>
        <v>16.39</v>
      </c>
      <c r="K30" s="44">
        <v>30</v>
      </c>
      <c r="L30" s="217">
        <f>+J30*K30/100+J30</f>
        <v>21.31</v>
      </c>
      <c r="M30" s="217">
        <f t="shared" si="6"/>
        <v>0.66</v>
      </c>
      <c r="N30" s="217">
        <f>+L30+M30</f>
        <v>21.97</v>
      </c>
      <c r="O30" s="44">
        <v>20</v>
      </c>
      <c r="P30" s="217">
        <f>+N30*O30/100</f>
        <v>4.3899999999999997</v>
      </c>
      <c r="Q30" s="217">
        <f>+N30+P30</f>
        <v>26.36</v>
      </c>
    </row>
    <row r="31" spans="1:17" ht="94.5" customHeight="1">
      <c r="A31" s="181" t="s">
        <v>139</v>
      </c>
      <c r="B31" s="72" t="s">
        <v>140</v>
      </c>
      <c r="C31" s="110" t="s">
        <v>141</v>
      </c>
      <c r="D31" s="217">
        <f>SUM(зпл.дезинф.!F23)</f>
        <v>7</v>
      </c>
      <c r="E31" s="217">
        <f>$D31*$E$10/100</f>
        <v>0.77</v>
      </c>
      <c r="F31" s="217">
        <f>+G31+H31</f>
        <v>2.76</v>
      </c>
      <c r="G31" s="217">
        <f>($D31+$E31)*34%</f>
        <v>2.64</v>
      </c>
      <c r="H31" s="217">
        <f t="shared" si="12"/>
        <v>0.12</v>
      </c>
      <c r="I31" s="217">
        <f>$D31*$I$10/100</f>
        <v>12.04</v>
      </c>
      <c r="J31" s="217">
        <f>+D31+E31+F31+I31</f>
        <v>22.57</v>
      </c>
      <c r="K31" s="44">
        <v>30</v>
      </c>
      <c r="L31" s="217">
        <f>+J31*K31/100+J31</f>
        <v>29.34</v>
      </c>
      <c r="M31" s="217">
        <f t="shared" si="6"/>
        <v>0.91</v>
      </c>
      <c r="N31" s="217">
        <f>+L31+M31</f>
        <v>30.25</v>
      </c>
      <c r="O31" s="44">
        <v>20</v>
      </c>
      <c r="P31" s="217">
        <f>+N31*O31/100</f>
        <v>6.05</v>
      </c>
      <c r="Q31" s="217">
        <f>+N31+P31</f>
        <v>36.299999999999997</v>
      </c>
    </row>
    <row r="32" spans="1:17" ht="32.25" customHeight="1">
      <c r="A32" s="75" t="s">
        <v>142</v>
      </c>
      <c r="B32" s="287" t="s">
        <v>143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</row>
    <row r="33" spans="1:17" ht="94.5" customHeight="1">
      <c r="A33" s="181" t="s">
        <v>144</v>
      </c>
      <c r="B33" s="72" t="s">
        <v>137</v>
      </c>
      <c r="C33" s="110" t="s">
        <v>138</v>
      </c>
      <c r="D33" s="217">
        <f>SUM(зпл.дезинф.!F25)</f>
        <v>4</v>
      </c>
      <c r="E33" s="217">
        <f>$D33*$E$10/100</f>
        <v>0.44</v>
      </c>
      <c r="F33" s="217">
        <f>+G33+H33</f>
        <v>1.58</v>
      </c>
      <c r="G33" s="217">
        <f>($D33+$E33)*34%</f>
        <v>1.51</v>
      </c>
      <c r="H33" s="217">
        <f t="shared" si="12"/>
        <v>7.0000000000000007E-2</v>
      </c>
      <c r="I33" s="217">
        <f>$D33*$I$10/100</f>
        <v>6.88</v>
      </c>
      <c r="J33" s="217">
        <f>+D33+E33+F33+I33</f>
        <v>12.9</v>
      </c>
      <c r="K33" s="44">
        <v>30</v>
      </c>
      <c r="L33" s="217">
        <f>+J33*K33/100+J33</f>
        <v>16.77</v>
      </c>
      <c r="M33" s="217">
        <f t="shared" si="6"/>
        <v>0.52</v>
      </c>
      <c r="N33" s="217">
        <f>+L33+M33</f>
        <v>17.29</v>
      </c>
      <c r="O33" s="44">
        <v>20</v>
      </c>
      <c r="P33" s="217">
        <f>+N33*O33/100</f>
        <v>3.46</v>
      </c>
      <c r="Q33" s="217">
        <f>+N33+P33</f>
        <v>20.75</v>
      </c>
    </row>
    <row r="34" spans="1:17" ht="90.75" customHeight="1">
      <c r="A34" s="181" t="s">
        <v>145</v>
      </c>
      <c r="B34" s="72" t="s">
        <v>140</v>
      </c>
      <c r="C34" s="110" t="s">
        <v>141</v>
      </c>
      <c r="D34" s="217">
        <f>SUM(зпл.дезинф.!F26)</f>
        <v>6</v>
      </c>
      <c r="E34" s="217">
        <f t="shared" ref="E34:E36" si="15">$D34*$E$10/100</f>
        <v>0.66</v>
      </c>
      <c r="F34" s="217">
        <f>+G34+H34</f>
        <v>2.37</v>
      </c>
      <c r="G34" s="217">
        <f t="shared" ref="G34:G36" si="16">($D34+$E34)*34%</f>
        <v>2.2599999999999998</v>
      </c>
      <c r="H34" s="217">
        <f t="shared" si="12"/>
        <v>0.11</v>
      </c>
      <c r="I34" s="217">
        <f t="shared" ref="I34:I36" si="17">$D34*$I$10/100</f>
        <v>10.32</v>
      </c>
      <c r="J34" s="217">
        <f>+D34+E34+F34+I34</f>
        <v>19.350000000000001</v>
      </c>
      <c r="K34" s="44">
        <v>30</v>
      </c>
      <c r="L34" s="217">
        <f>+J34*K34/100+J34</f>
        <v>25.16</v>
      </c>
      <c r="M34" s="217">
        <f t="shared" si="6"/>
        <v>0.78</v>
      </c>
      <c r="N34" s="217">
        <f>+L34+M34</f>
        <v>25.94</v>
      </c>
      <c r="O34" s="44">
        <v>20</v>
      </c>
      <c r="P34" s="217">
        <f>+N34*O34/100</f>
        <v>5.19</v>
      </c>
      <c r="Q34" s="217">
        <f>+N34+P34</f>
        <v>31.13</v>
      </c>
    </row>
    <row r="35" spans="1:17" ht="60" customHeight="1">
      <c r="A35" s="84" t="s">
        <v>146</v>
      </c>
      <c r="B35" s="86" t="s">
        <v>152</v>
      </c>
      <c r="C35" s="110" t="s">
        <v>147</v>
      </c>
      <c r="D35" s="217">
        <f>SUM(зпл.дезинф.!F27)</f>
        <v>0.16</v>
      </c>
      <c r="E35" s="217">
        <f t="shared" si="15"/>
        <v>0.02</v>
      </c>
      <c r="F35" s="217">
        <f>+G35+H35</f>
        <v>0.06</v>
      </c>
      <c r="G35" s="217">
        <f t="shared" si="16"/>
        <v>0.06</v>
      </c>
      <c r="H35" s="217">
        <f t="shared" si="12"/>
        <v>0</v>
      </c>
      <c r="I35" s="217">
        <f t="shared" si="17"/>
        <v>0.28000000000000003</v>
      </c>
      <c r="J35" s="217">
        <f>+D35+E35+F35+I35</f>
        <v>0.52</v>
      </c>
      <c r="K35" s="44">
        <v>30</v>
      </c>
      <c r="L35" s="217">
        <f>+J35*K35/100+J35</f>
        <v>0.68</v>
      </c>
      <c r="M35" s="217">
        <f t="shared" si="6"/>
        <v>0.02</v>
      </c>
      <c r="N35" s="217">
        <f>+L35+M35</f>
        <v>0.7</v>
      </c>
      <c r="O35" s="44">
        <v>20</v>
      </c>
      <c r="P35" s="217">
        <f>+N35*O35/100</f>
        <v>0.14000000000000001</v>
      </c>
      <c r="Q35" s="217">
        <f>+N35+P35</f>
        <v>0.84</v>
      </c>
    </row>
    <row r="36" spans="1:17" ht="48.75" customHeight="1">
      <c r="A36" s="84" t="s">
        <v>148</v>
      </c>
      <c r="B36" s="86" t="s">
        <v>149</v>
      </c>
      <c r="C36" s="110" t="s">
        <v>147</v>
      </c>
      <c r="D36" s="217">
        <f>SUM(зпл.дезинф.!F28)</f>
        <v>3.36</v>
      </c>
      <c r="E36" s="217">
        <f t="shared" si="15"/>
        <v>0.37</v>
      </c>
      <c r="F36" s="217">
        <f>+G36+H36</f>
        <v>1.33</v>
      </c>
      <c r="G36" s="217">
        <f t="shared" si="16"/>
        <v>1.27</v>
      </c>
      <c r="H36" s="217">
        <f t="shared" si="12"/>
        <v>0.06</v>
      </c>
      <c r="I36" s="217">
        <f t="shared" si="17"/>
        <v>5.78</v>
      </c>
      <c r="J36" s="217">
        <f>+D36+E36+F36+I36</f>
        <v>10.84</v>
      </c>
      <c r="K36" s="44">
        <v>30</v>
      </c>
      <c r="L36" s="217">
        <f>+J36*K36/100+J36</f>
        <v>14.09</v>
      </c>
      <c r="M36" s="217">
        <f t="shared" si="6"/>
        <v>0.44</v>
      </c>
      <c r="N36" s="217">
        <f>+L36+M36</f>
        <v>14.53</v>
      </c>
      <c r="O36" s="44">
        <v>20</v>
      </c>
      <c r="P36" s="217">
        <f>+N36*O36/100</f>
        <v>2.91</v>
      </c>
      <c r="Q36" s="217">
        <f>+N36+P36</f>
        <v>17.440000000000001</v>
      </c>
    </row>
    <row r="38" spans="1:17" ht="15.75">
      <c r="C38" s="102"/>
    </row>
    <row r="39" spans="1:17" ht="15.75">
      <c r="B39" t="s">
        <v>110</v>
      </c>
      <c r="C39" s="87"/>
    </row>
    <row r="40" spans="1:17" ht="15.75">
      <c r="C40" s="102"/>
    </row>
  </sheetData>
  <mergeCells count="8">
    <mergeCell ref="N6:Q6"/>
    <mergeCell ref="B32:Q32"/>
    <mergeCell ref="B8:Q8"/>
    <mergeCell ref="A7:P7"/>
    <mergeCell ref="S11:V11"/>
    <mergeCell ref="B29:Q29"/>
    <mergeCell ref="B12:Q12"/>
    <mergeCell ref="B21:Q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41"/>
  <sheetViews>
    <sheetView topLeftCell="A6" workbookViewId="0">
      <selection activeCell="G13" sqref="G13"/>
    </sheetView>
  </sheetViews>
  <sheetFormatPr defaultRowHeight="12.75"/>
  <cols>
    <col min="1" max="1" width="4.42578125" style="26" customWidth="1"/>
    <col min="2" max="2" width="15" customWidth="1"/>
    <col min="3" max="3" width="7" style="41" customWidth="1"/>
    <col min="4" max="4" width="8" customWidth="1"/>
    <col min="5" max="5" width="8.42578125" customWidth="1"/>
    <col min="6" max="6" width="7.28515625" customWidth="1"/>
    <col min="7" max="7" width="8.140625" customWidth="1"/>
    <col min="8" max="8" width="6.140625" customWidth="1"/>
    <col min="9" max="9" width="7.85546875" customWidth="1"/>
    <col min="10" max="10" width="9.5703125" customWidth="1"/>
    <col min="11" max="11" width="3.140625" customWidth="1"/>
    <col min="12" max="12" width="9.42578125" customWidth="1"/>
    <col min="13" max="13" width="7" customWidth="1"/>
    <col min="14" max="14" width="7.85546875" customWidth="1"/>
    <col min="15" max="15" width="3.42578125" customWidth="1"/>
    <col min="16" max="16" width="8.140625" customWidth="1"/>
    <col min="17" max="17" width="8" customWidth="1"/>
    <col min="18" max="18" width="9.140625" style="61"/>
    <col min="19" max="19" width="14.85546875" style="61" customWidth="1"/>
    <col min="20" max="23" width="9.140625" style="61"/>
  </cols>
  <sheetData>
    <row r="1" spans="1:23" hidden="1"/>
    <row r="2" spans="1:23" hidden="1">
      <c r="H2" s="70"/>
    </row>
    <row r="3" spans="1:23" hidden="1">
      <c r="H3" s="70"/>
    </row>
    <row r="4" spans="1:23" hidden="1">
      <c r="H4" s="70"/>
    </row>
    <row r="5" spans="1:23" hidden="1">
      <c r="H5" s="70"/>
    </row>
    <row r="6" spans="1:23">
      <c r="H6" s="70"/>
      <c r="O6" s="279" t="s">
        <v>319</v>
      </c>
      <c r="P6" s="280"/>
      <c r="Q6" s="280"/>
    </row>
    <row r="7" spans="1:23" ht="35.25" customHeight="1">
      <c r="A7" s="304" t="s">
        <v>48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</row>
    <row r="8" spans="1:23" ht="13.5">
      <c r="B8" s="319" t="s">
        <v>323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</row>
    <row r="9" spans="1:23">
      <c r="I9" s="66"/>
    </row>
    <row r="10" spans="1:23" ht="18" customHeight="1">
      <c r="E10" s="186">
        <f>'Расчет доп. ФОТ '!C7</f>
        <v>11</v>
      </c>
      <c r="I10" s="234">
        <f>' план.кальк.дезинф'!I10</f>
        <v>172.03</v>
      </c>
    </row>
    <row r="11" spans="1:23" s="48" customFormat="1" ht="99.75" customHeight="1">
      <c r="A11" s="47" t="s">
        <v>0</v>
      </c>
      <c r="B11" s="49" t="s">
        <v>39</v>
      </c>
      <c r="C11" s="46" t="s">
        <v>19</v>
      </c>
      <c r="D11" s="47" t="s">
        <v>47</v>
      </c>
      <c r="E11" s="47" t="s">
        <v>45</v>
      </c>
      <c r="F11" s="47" t="s">
        <v>46</v>
      </c>
      <c r="G11" s="59" t="s">
        <v>49</v>
      </c>
      <c r="H11" s="60" t="s">
        <v>50</v>
      </c>
      <c r="I11" s="46" t="s">
        <v>40</v>
      </c>
      <c r="J11" s="47" t="s">
        <v>2</v>
      </c>
      <c r="K11" s="46" t="s">
        <v>3</v>
      </c>
      <c r="L11" s="47" t="s">
        <v>4</v>
      </c>
      <c r="M11" s="59" t="s">
        <v>160</v>
      </c>
      <c r="N11" s="47" t="s">
        <v>41</v>
      </c>
      <c r="O11" s="47" t="s">
        <v>42</v>
      </c>
      <c r="P11" s="47" t="s">
        <v>43</v>
      </c>
      <c r="Q11" s="47" t="s">
        <v>44</v>
      </c>
      <c r="R11" s="62"/>
      <c r="S11" s="312" t="s">
        <v>51</v>
      </c>
      <c r="T11" s="313"/>
      <c r="U11" s="313"/>
      <c r="V11" s="313"/>
      <c r="W11" s="62"/>
    </row>
    <row r="12" spans="1:23" s="48" customFormat="1" ht="19.5" customHeight="1">
      <c r="A12" s="71" t="s">
        <v>80</v>
      </c>
      <c r="B12" s="287" t="s">
        <v>81</v>
      </c>
      <c r="C12" s="321"/>
      <c r="D12" s="321"/>
      <c r="E12" s="321"/>
      <c r="F12" s="321"/>
      <c r="G12" s="321"/>
      <c r="H12" s="321"/>
      <c r="I12" s="321"/>
      <c r="J12" s="288"/>
      <c r="K12" s="288"/>
      <c r="L12" s="288"/>
      <c r="M12" s="288"/>
      <c r="N12" s="288"/>
      <c r="O12" s="288"/>
      <c r="P12" s="288"/>
      <c r="Q12" s="288"/>
      <c r="R12" s="62"/>
      <c r="S12" s="67"/>
      <c r="T12" s="68"/>
      <c r="U12" s="68"/>
      <c r="V12" s="68"/>
      <c r="W12" s="62"/>
    </row>
    <row r="13" spans="1:23" s="16" customFormat="1" ht="50.25" customHeight="1">
      <c r="A13" s="181" t="s">
        <v>82</v>
      </c>
      <c r="B13" s="72" t="s">
        <v>55</v>
      </c>
      <c r="C13" s="88" t="s">
        <v>70</v>
      </c>
      <c r="D13" s="217">
        <f>SUM('зпл дезинс'!F10)</f>
        <v>1.6</v>
      </c>
      <c r="E13" s="217">
        <f>$D13*$E$10/100</f>
        <v>0.18</v>
      </c>
      <c r="F13" s="217">
        <f>+G13+H13</f>
        <v>0.64</v>
      </c>
      <c r="G13" s="217">
        <f>($D13+$E13)*34%</f>
        <v>0.61</v>
      </c>
      <c r="H13" s="217">
        <f>($D13+$E13)*1.58%</f>
        <v>0.03</v>
      </c>
      <c r="I13" s="217">
        <f>$D13*$I$10/100</f>
        <v>2.75</v>
      </c>
      <c r="J13" s="217">
        <f>+D13+E13+F13+I13</f>
        <v>5.17</v>
      </c>
      <c r="K13" s="44">
        <v>30</v>
      </c>
      <c r="L13" s="217">
        <f>+J13*K13/100+J13</f>
        <v>6.72</v>
      </c>
      <c r="M13" s="217">
        <f>$L13*3/97</f>
        <v>0.21</v>
      </c>
      <c r="N13" s="217">
        <f>+L13+M13</f>
        <v>6.93</v>
      </c>
      <c r="O13" s="44">
        <v>20</v>
      </c>
      <c r="P13" s="217">
        <f>+N13*O13/100</f>
        <v>1.39</v>
      </c>
      <c r="Q13" s="217">
        <f>+N13+P13</f>
        <v>8.32</v>
      </c>
      <c r="R13" s="61"/>
      <c r="S13" s="61"/>
      <c r="T13" s="61"/>
      <c r="U13" s="61"/>
      <c r="V13" s="61"/>
      <c r="W13" s="61"/>
    </row>
    <row r="14" spans="1:23" s="16" customFormat="1" ht="16.5" hidden="1" customHeight="1">
      <c r="A14" s="183"/>
      <c r="B14" s="43"/>
      <c r="C14" s="45"/>
      <c r="D14" s="217"/>
      <c r="E14" s="217">
        <f t="shared" ref="E14:E16" si="0">$D14*$E$10/100</f>
        <v>0</v>
      </c>
      <c r="F14" s="217"/>
      <c r="G14" s="217">
        <f t="shared" ref="G14:G16" si="1">($D14+$E14)*34%</f>
        <v>0</v>
      </c>
      <c r="H14" s="217">
        <f t="shared" ref="H14:H16" si="2">($D14+$E14)*1.58%</f>
        <v>0</v>
      </c>
      <c r="I14" s="217">
        <f t="shared" ref="I14:I16" si="3">$D14*$I$10/100</f>
        <v>0</v>
      </c>
      <c r="J14" s="217">
        <f t="shared" ref="J14:J19" si="4">+D14+E14+F14+I14</f>
        <v>0</v>
      </c>
      <c r="K14" s="44">
        <v>16</v>
      </c>
      <c r="L14" s="217">
        <f t="shared" ref="L14:L19" si="5">+J14*K14/100+J14</f>
        <v>0</v>
      </c>
      <c r="M14" s="217">
        <f t="shared" ref="M14:M22" si="6">$L14*3/97</f>
        <v>0</v>
      </c>
      <c r="N14" s="217">
        <f t="shared" ref="N14:N19" si="7">+L14+M14</f>
        <v>0</v>
      </c>
      <c r="O14" s="44">
        <v>19</v>
      </c>
      <c r="P14" s="217">
        <f t="shared" ref="P14:P19" si="8">+N14*O14/100</f>
        <v>0</v>
      </c>
      <c r="Q14" s="217">
        <f t="shared" ref="Q14:Q19" si="9">+N14+P14</f>
        <v>0</v>
      </c>
      <c r="R14" s="61"/>
      <c r="S14" s="61"/>
      <c r="T14" s="61"/>
      <c r="U14" s="61"/>
      <c r="V14" s="61"/>
      <c r="W14" s="61"/>
    </row>
    <row r="15" spans="1:23" s="16" customFormat="1" ht="81" customHeight="1">
      <c r="A15" s="181" t="s">
        <v>84</v>
      </c>
      <c r="B15" s="72" t="s">
        <v>58</v>
      </c>
      <c r="C15" s="69" t="s">
        <v>71</v>
      </c>
      <c r="D15" s="217">
        <f>SUM('зпл дезинс'!F11)</f>
        <v>1.52</v>
      </c>
      <c r="E15" s="217">
        <f t="shared" si="0"/>
        <v>0.17</v>
      </c>
      <c r="F15" s="217">
        <f>+G15+H15</f>
        <v>0.6</v>
      </c>
      <c r="G15" s="217">
        <f t="shared" si="1"/>
        <v>0.56999999999999995</v>
      </c>
      <c r="H15" s="217">
        <f t="shared" si="2"/>
        <v>0.03</v>
      </c>
      <c r="I15" s="217">
        <f t="shared" si="3"/>
        <v>2.61</v>
      </c>
      <c r="J15" s="217">
        <f t="shared" si="4"/>
        <v>4.9000000000000004</v>
      </c>
      <c r="K15" s="44">
        <v>30</v>
      </c>
      <c r="L15" s="217">
        <f t="shared" si="5"/>
        <v>6.37</v>
      </c>
      <c r="M15" s="217">
        <f t="shared" si="6"/>
        <v>0.2</v>
      </c>
      <c r="N15" s="217">
        <f t="shared" si="7"/>
        <v>6.57</v>
      </c>
      <c r="O15" s="44">
        <v>20</v>
      </c>
      <c r="P15" s="217">
        <f t="shared" si="8"/>
        <v>1.31</v>
      </c>
      <c r="Q15" s="217">
        <f t="shared" si="9"/>
        <v>7.88</v>
      </c>
      <c r="R15" s="61"/>
      <c r="S15" s="61"/>
      <c r="T15" s="61"/>
      <c r="U15" s="61"/>
      <c r="V15" s="61"/>
      <c r="W15" s="61"/>
    </row>
    <row r="16" spans="1:23" s="16" customFormat="1" ht="81" customHeight="1">
      <c r="A16" s="181" t="s">
        <v>85</v>
      </c>
      <c r="B16" s="72" t="s">
        <v>64</v>
      </c>
      <c r="C16" s="69" t="s">
        <v>71</v>
      </c>
      <c r="D16" s="217">
        <f>SUM('зпл дезинс'!F12)</f>
        <v>0.88</v>
      </c>
      <c r="E16" s="217">
        <f t="shared" si="0"/>
        <v>0.1</v>
      </c>
      <c r="F16" s="217">
        <f>+G16+H16</f>
        <v>0.35</v>
      </c>
      <c r="G16" s="217">
        <f t="shared" si="1"/>
        <v>0.33</v>
      </c>
      <c r="H16" s="217">
        <f t="shared" si="2"/>
        <v>0.02</v>
      </c>
      <c r="I16" s="217">
        <f t="shared" si="3"/>
        <v>1.51</v>
      </c>
      <c r="J16" s="217">
        <f t="shared" si="4"/>
        <v>2.84</v>
      </c>
      <c r="K16" s="44">
        <v>30</v>
      </c>
      <c r="L16" s="217">
        <f t="shared" si="5"/>
        <v>3.69</v>
      </c>
      <c r="M16" s="217">
        <f t="shared" si="6"/>
        <v>0.11</v>
      </c>
      <c r="N16" s="217">
        <f t="shared" si="7"/>
        <v>3.8</v>
      </c>
      <c r="O16" s="44">
        <v>20</v>
      </c>
      <c r="P16" s="217">
        <f t="shared" si="8"/>
        <v>0.76</v>
      </c>
      <c r="Q16" s="217">
        <f t="shared" si="9"/>
        <v>4.5599999999999996</v>
      </c>
      <c r="R16" s="61"/>
      <c r="S16" s="61"/>
      <c r="T16" s="61"/>
      <c r="U16" s="61"/>
      <c r="V16" s="61"/>
      <c r="W16" s="61"/>
    </row>
    <row r="17" spans="1:41" ht="19.5" customHeight="1">
      <c r="A17" s="75" t="s">
        <v>86</v>
      </c>
      <c r="B17" s="287" t="s">
        <v>87</v>
      </c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</row>
    <row r="18" spans="1:41" ht="53.25" customHeight="1">
      <c r="A18" s="181" t="s">
        <v>88</v>
      </c>
      <c r="B18" s="72" t="s">
        <v>55</v>
      </c>
      <c r="C18" s="69" t="s">
        <v>70</v>
      </c>
      <c r="D18" s="217">
        <f>SUM('зпл дезинс'!F14)</f>
        <v>1.1599999999999999</v>
      </c>
      <c r="E18" s="217">
        <f>$D18*$E$10/100</f>
        <v>0.13</v>
      </c>
      <c r="F18" s="217">
        <f>+G18+H18</f>
        <v>0.46</v>
      </c>
      <c r="G18" s="217">
        <f>($D18+E18)*34%</f>
        <v>0.44</v>
      </c>
      <c r="H18" s="217">
        <f>($D18+$E18)*1.58%</f>
        <v>0.02</v>
      </c>
      <c r="I18" s="217">
        <f>$D18*$I$10/100</f>
        <v>2</v>
      </c>
      <c r="J18" s="217">
        <f t="shared" si="4"/>
        <v>3.75</v>
      </c>
      <c r="K18" s="44">
        <v>30</v>
      </c>
      <c r="L18" s="217">
        <f t="shared" si="5"/>
        <v>4.88</v>
      </c>
      <c r="M18" s="217">
        <f t="shared" si="6"/>
        <v>0.15</v>
      </c>
      <c r="N18" s="217">
        <f t="shared" si="7"/>
        <v>5.03</v>
      </c>
      <c r="O18" s="44">
        <v>20</v>
      </c>
      <c r="P18" s="217">
        <f t="shared" si="8"/>
        <v>1.01</v>
      </c>
      <c r="Q18" s="217">
        <f t="shared" si="9"/>
        <v>6.04</v>
      </c>
    </row>
    <row r="19" spans="1:41" hidden="1">
      <c r="A19" s="185"/>
      <c r="D19" s="224">
        <f>+зпл.дерат.!G17</f>
        <v>0</v>
      </c>
      <c r="E19" s="217">
        <f t="shared" ref="E19:E22" si="10">$D19*$E$10/100</f>
        <v>0</v>
      </c>
      <c r="F19" s="219"/>
      <c r="G19" s="217">
        <f t="shared" ref="G19:G22" si="11">($D19+E19)*34%</f>
        <v>0</v>
      </c>
      <c r="H19" s="217">
        <f t="shared" ref="H19:H22" si="12">($D19+$E19)*1.58%</f>
        <v>0</v>
      </c>
      <c r="I19" s="217">
        <f t="shared" ref="I19:I22" si="13">$D19*$I$10/100</f>
        <v>0</v>
      </c>
      <c r="J19" s="224">
        <f t="shared" si="4"/>
        <v>0</v>
      </c>
      <c r="K19" s="58">
        <v>17</v>
      </c>
      <c r="L19" s="227">
        <f t="shared" si="5"/>
        <v>0</v>
      </c>
      <c r="M19" s="217">
        <f t="shared" si="6"/>
        <v>0</v>
      </c>
      <c r="N19" s="227">
        <f t="shared" si="7"/>
        <v>0</v>
      </c>
      <c r="O19" s="54">
        <v>25</v>
      </c>
      <c r="P19" s="227">
        <f t="shared" si="8"/>
        <v>0</v>
      </c>
      <c r="Q19" s="227">
        <f t="shared" si="9"/>
        <v>0</v>
      </c>
    </row>
    <row r="20" spans="1:41" ht="78.75" customHeight="1">
      <c r="A20" s="181" t="s">
        <v>89</v>
      </c>
      <c r="B20" s="72" t="s">
        <v>58</v>
      </c>
      <c r="C20" s="69" t="s">
        <v>71</v>
      </c>
      <c r="D20" s="217">
        <f>SUM('зпл дезинс'!F15)</f>
        <v>1.04</v>
      </c>
      <c r="E20" s="217">
        <f t="shared" si="10"/>
        <v>0.11</v>
      </c>
      <c r="F20" s="217">
        <f>+G20+H20</f>
        <v>0.41</v>
      </c>
      <c r="G20" s="217">
        <f t="shared" si="11"/>
        <v>0.39</v>
      </c>
      <c r="H20" s="217">
        <f t="shared" si="12"/>
        <v>0.02</v>
      </c>
      <c r="I20" s="217">
        <f t="shared" si="13"/>
        <v>1.79</v>
      </c>
      <c r="J20" s="217">
        <f>+D20+E20+F20+I20</f>
        <v>3.35</v>
      </c>
      <c r="K20" s="44">
        <v>30</v>
      </c>
      <c r="L20" s="217">
        <f>+J20*K20/100+J20</f>
        <v>4.3600000000000003</v>
      </c>
      <c r="M20" s="217">
        <f t="shared" si="6"/>
        <v>0.13</v>
      </c>
      <c r="N20" s="217">
        <f>+L20+M20</f>
        <v>4.49</v>
      </c>
      <c r="O20" s="44">
        <v>20</v>
      </c>
      <c r="P20" s="217">
        <f>+N20*O20/100</f>
        <v>0.9</v>
      </c>
      <c r="Q20" s="217">
        <f>+N20+P20</f>
        <v>5.39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</row>
    <row r="21" spans="1:41" hidden="1">
      <c r="A21" s="185"/>
      <c r="B21" s="61"/>
      <c r="C21" s="63"/>
      <c r="D21" s="217">
        <f>+зпл.дерат.!G19</f>
        <v>0</v>
      </c>
      <c r="E21" s="217">
        <f t="shared" si="10"/>
        <v>0</v>
      </c>
      <c r="F21" s="217">
        <f>+G21+H21</f>
        <v>0</v>
      </c>
      <c r="G21" s="217">
        <f t="shared" si="11"/>
        <v>0</v>
      </c>
      <c r="H21" s="217">
        <f t="shared" si="12"/>
        <v>0</v>
      </c>
      <c r="I21" s="217">
        <f t="shared" si="13"/>
        <v>0</v>
      </c>
      <c r="J21" s="217">
        <f>+D21+E21+F21+I21</f>
        <v>0</v>
      </c>
      <c r="K21" s="44"/>
      <c r="L21" s="217">
        <f>+J21*K21/100+J21</f>
        <v>0</v>
      </c>
      <c r="M21" s="217">
        <f t="shared" si="6"/>
        <v>0</v>
      </c>
      <c r="N21" s="217">
        <f>+L21+M21</f>
        <v>0</v>
      </c>
      <c r="O21" s="44">
        <v>18</v>
      </c>
      <c r="P21" s="217">
        <f>+N21*O21/100</f>
        <v>0</v>
      </c>
      <c r="Q21" s="217">
        <f>+N21+P21</f>
        <v>0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</row>
    <row r="22" spans="1:41" ht="71.25" customHeight="1">
      <c r="A22" s="181" t="s">
        <v>90</v>
      </c>
      <c r="B22" s="72" t="s">
        <v>64</v>
      </c>
      <c r="C22" s="88" t="s">
        <v>71</v>
      </c>
      <c r="D22" s="217">
        <f>SUM('зпл дезинс'!F16)</f>
        <v>0.68</v>
      </c>
      <c r="E22" s="217">
        <f t="shared" si="10"/>
        <v>7.0000000000000007E-2</v>
      </c>
      <c r="F22" s="217">
        <f>+G22+H22</f>
        <v>0.27</v>
      </c>
      <c r="G22" s="217">
        <f t="shared" si="11"/>
        <v>0.26</v>
      </c>
      <c r="H22" s="217">
        <f t="shared" si="12"/>
        <v>0.01</v>
      </c>
      <c r="I22" s="217">
        <f t="shared" si="13"/>
        <v>1.17</v>
      </c>
      <c r="J22" s="217">
        <f>+D22+E22+F22+I22</f>
        <v>2.19</v>
      </c>
      <c r="K22" s="44">
        <v>30</v>
      </c>
      <c r="L22" s="217">
        <f>+J22*K22/100+J22</f>
        <v>2.85</v>
      </c>
      <c r="M22" s="217">
        <f t="shared" si="6"/>
        <v>0.09</v>
      </c>
      <c r="N22" s="217">
        <f>+L22+M22</f>
        <v>2.94</v>
      </c>
      <c r="O22" s="44">
        <v>20</v>
      </c>
      <c r="P22" s="217">
        <f>+N22*O22/100</f>
        <v>0.59</v>
      </c>
      <c r="Q22" s="217">
        <f>+N22+P22</f>
        <v>3.53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hidden="1">
      <c r="A23" s="51"/>
      <c r="B23" s="61"/>
      <c r="C23" s="63"/>
      <c r="D23" s="64"/>
      <c r="E23" s="61"/>
      <c r="F23" s="61"/>
      <c r="G23" s="64"/>
      <c r="H23" s="64"/>
      <c r="I23" s="64"/>
      <c r="J23" s="64"/>
      <c r="K23" s="65"/>
      <c r="L23" s="64"/>
      <c r="M23" s="64"/>
      <c r="N23" s="64"/>
      <c r="O23" s="65"/>
      <c r="P23" s="64"/>
      <c r="Q23" s="64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1:41" hidden="1">
      <c r="B24" s="61"/>
      <c r="C24" s="6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1" ht="27" customHeight="1">
      <c r="A25" s="75" t="s">
        <v>91</v>
      </c>
      <c r="B25" s="287" t="s">
        <v>159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</row>
    <row r="26" spans="1:41" ht="51.75" customHeight="1">
      <c r="A26" s="181" t="s">
        <v>93</v>
      </c>
      <c r="B26" s="72" t="s">
        <v>55</v>
      </c>
      <c r="C26" s="69" t="s">
        <v>70</v>
      </c>
      <c r="D26" s="217">
        <f>SUM('зпл дезинс'!F18)</f>
        <v>6.88</v>
      </c>
      <c r="E26" s="217">
        <f>$D26*$E$10/100</f>
        <v>0.76</v>
      </c>
      <c r="F26" s="217">
        <f>+G26+H26</f>
        <v>2.72</v>
      </c>
      <c r="G26" s="217">
        <f>($D26+$E26)*34%</f>
        <v>2.6</v>
      </c>
      <c r="H26" s="217">
        <f t="shared" ref="H26:H38" si="14">($D26+$E26)*1.58%</f>
        <v>0.12</v>
      </c>
      <c r="I26" s="217">
        <f>$D26*$I$10/100</f>
        <v>11.84</v>
      </c>
      <c r="J26" s="217">
        <f>+D26+E26+F26+I26</f>
        <v>22.2</v>
      </c>
      <c r="K26" s="44">
        <v>30</v>
      </c>
      <c r="L26" s="217">
        <f>+J26*K26/100+J26</f>
        <v>28.86</v>
      </c>
      <c r="M26" s="217">
        <f t="shared" ref="M26:M38" si="15">$L26*3/97</f>
        <v>0.89</v>
      </c>
      <c r="N26" s="217">
        <f>+L26+M26</f>
        <v>29.75</v>
      </c>
      <c r="O26" s="44">
        <v>20</v>
      </c>
      <c r="P26" s="217">
        <f>+N26*O26/100</f>
        <v>5.95</v>
      </c>
      <c r="Q26" s="217">
        <f>+N26+P26</f>
        <v>35.700000000000003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</row>
    <row r="27" spans="1:41" ht="80.25" customHeight="1">
      <c r="A27" s="181" t="s">
        <v>94</v>
      </c>
      <c r="B27" s="72" t="s">
        <v>58</v>
      </c>
      <c r="C27" s="69" t="s">
        <v>71</v>
      </c>
      <c r="D27" s="217">
        <f>SUM('зпл дезинс'!F19)</f>
        <v>2.36</v>
      </c>
      <c r="E27" s="217">
        <f t="shared" ref="E27:E28" si="16">$D27*$E$10/100</f>
        <v>0.26</v>
      </c>
      <c r="F27" s="217">
        <f>+G27+H27</f>
        <v>0.93</v>
      </c>
      <c r="G27" s="217">
        <f>($D27+$E27)*34%</f>
        <v>0.89</v>
      </c>
      <c r="H27" s="217">
        <f t="shared" si="14"/>
        <v>0.04</v>
      </c>
      <c r="I27" s="217">
        <f t="shared" ref="I27:I28" si="17">$D27*$I$10/100</f>
        <v>4.0599999999999996</v>
      </c>
      <c r="J27" s="217">
        <f>+D27+E27+F27+I27</f>
        <v>7.61</v>
      </c>
      <c r="K27" s="44">
        <v>30</v>
      </c>
      <c r="L27" s="217">
        <f>+J27*K27/100+J27</f>
        <v>9.89</v>
      </c>
      <c r="M27" s="217">
        <f t="shared" si="15"/>
        <v>0.31</v>
      </c>
      <c r="N27" s="217">
        <f>+L27+M27</f>
        <v>10.199999999999999</v>
      </c>
      <c r="O27" s="44">
        <v>20</v>
      </c>
      <c r="P27" s="217">
        <f>+N27*O27/100</f>
        <v>2.04</v>
      </c>
      <c r="Q27" s="217">
        <f>+N27+P27</f>
        <v>12.24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</row>
    <row r="28" spans="1:41" ht="80.25" customHeight="1">
      <c r="A28" s="181" t="s">
        <v>95</v>
      </c>
      <c r="B28" s="72" t="s">
        <v>64</v>
      </c>
      <c r="C28" s="69" t="s">
        <v>71</v>
      </c>
      <c r="D28" s="217">
        <f>SUM('зпл дезинс'!F20)</f>
        <v>1.32</v>
      </c>
      <c r="E28" s="217">
        <f t="shared" si="16"/>
        <v>0.15</v>
      </c>
      <c r="F28" s="217">
        <f>+G28+H28</f>
        <v>0.52</v>
      </c>
      <c r="G28" s="217">
        <f>($D28+$E28)*34%</f>
        <v>0.5</v>
      </c>
      <c r="H28" s="217">
        <f t="shared" si="14"/>
        <v>0.02</v>
      </c>
      <c r="I28" s="217">
        <f t="shared" si="17"/>
        <v>2.27</v>
      </c>
      <c r="J28" s="217">
        <f>+D28+E28+F28+I28</f>
        <v>4.26</v>
      </c>
      <c r="K28" s="44">
        <v>30</v>
      </c>
      <c r="L28" s="217">
        <f>+J28*K28/100+J28</f>
        <v>5.54</v>
      </c>
      <c r="M28" s="217">
        <f t="shared" si="15"/>
        <v>0.17</v>
      </c>
      <c r="N28" s="217">
        <f>+L28+M28</f>
        <v>5.71</v>
      </c>
      <c r="O28" s="44">
        <v>20</v>
      </c>
      <c r="P28" s="217">
        <f>+N28*O28/100</f>
        <v>1.1399999999999999</v>
      </c>
      <c r="Q28" s="217">
        <f>+N28+P28</f>
        <v>6.85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</row>
    <row r="29" spans="1:41" ht="24.75" customHeight="1">
      <c r="A29" s="75" t="s">
        <v>96</v>
      </c>
      <c r="B29" s="287" t="s">
        <v>97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41" ht="62.25" customHeight="1">
      <c r="A30" s="181" t="s">
        <v>98</v>
      </c>
      <c r="B30" s="72" t="s">
        <v>55</v>
      </c>
      <c r="C30" s="69" t="s">
        <v>70</v>
      </c>
      <c r="D30" s="217">
        <f>SUM('зпл дезинс'!F22)</f>
        <v>1.08</v>
      </c>
      <c r="E30" s="217">
        <f>$D30*$E$10/100</f>
        <v>0.12</v>
      </c>
      <c r="F30" s="217">
        <f t="shared" ref="F30:F38" si="18">+G30+H30</f>
        <v>0.43</v>
      </c>
      <c r="G30" s="217">
        <f>($D30+$E30)*34%</f>
        <v>0.41</v>
      </c>
      <c r="H30" s="217">
        <f t="shared" si="14"/>
        <v>0.02</v>
      </c>
      <c r="I30" s="217">
        <f>$D30*$I$10/100</f>
        <v>1.86</v>
      </c>
      <c r="J30" s="217">
        <f t="shared" ref="J30:J38" si="19">+D30+E30+F30+I30</f>
        <v>3.49</v>
      </c>
      <c r="K30" s="44">
        <v>30</v>
      </c>
      <c r="L30" s="217">
        <f t="shared" ref="L30:L38" si="20">+J30*K30/100+J30</f>
        <v>4.54</v>
      </c>
      <c r="M30" s="217">
        <f t="shared" si="15"/>
        <v>0.14000000000000001</v>
      </c>
      <c r="N30" s="217">
        <f t="shared" ref="N30:N38" si="21">+L30+M30</f>
        <v>4.68</v>
      </c>
      <c r="O30" s="44">
        <v>20</v>
      </c>
      <c r="P30" s="228">
        <f t="shared" ref="P30:P38" si="22">+N30*O30/100</f>
        <v>0.94</v>
      </c>
      <c r="Q30" s="228">
        <f t="shared" ref="Q30:Q38" si="23">+N30+P30</f>
        <v>5.62</v>
      </c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 ht="79.5" customHeight="1">
      <c r="A31" s="181" t="s">
        <v>99</v>
      </c>
      <c r="B31" s="72" t="s">
        <v>58</v>
      </c>
      <c r="C31" s="69" t="s">
        <v>71</v>
      </c>
      <c r="D31" s="217">
        <f>SUM('зпл дезинс'!F23)</f>
        <v>0.96</v>
      </c>
      <c r="E31" s="217">
        <f t="shared" ref="E31:E38" si="24">$D31*$E$10/100</f>
        <v>0.11</v>
      </c>
      <c r="F31" s="217">
        <f t="shared" si="18"/>
        <v>0.38</v>
      </c>
      <c r="G31" s="217">
        <f t="shared" ref="G31:G38" si="25">($D31+$E31)*34%</f>
        <v>0.36</v>
      </c>
      <c r="H31" s="217">
        <f t="shared" si="14"/>
        <v>0.02</v>
      </c>
      <c r="I31" s="217">
        <f t="shared" ref="I31:I38" si="26">$D31*$I$10/100</f>
        <v>1.65</v>
      </c>
      <c r="J31" s="217">
        <f t="shared" si="19"/>
        <v>3.1</v>
      </c>
      <c r="K31" s="44">
        <v>30</v>
      </c>
      <c r="L31" s="217">
        <f t="shared" si="20"/>
        <v>4.03</v>
      </c>
      <c r="M31" s="217">
        <f t="shared" si="15"/>
        <v>0.12</v>
      </c>
      <c r="N31" s="217">
        <f t="shared" si="21"/>
        <v>4.1500000000000004</v>
      </c>
      <c r="O31" s="44">
        <v>20</v>
      </c>
      <c r="P31" s="228">
        <f t="shared" si="22"/>
        <v>0.83</v>
      </c>
      <c r="Q31" s="228">
        <f t="shared" si="23"/>
        <v>4.9800000000000004</v>
      </c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</row>
    <row r="32" spans="1:41" ht="78.75" customHeight="1">
      <c r="A32" s="181" t="s">
        <v>100</v>
      </c>
      <c r="B32" s="72" t="s">
        <v>64</v>
      </c>
      <c r="C32" s="69" t="s">
        <v>71</v>
      </c>
      <c r="D32" s="217">
        <f>SUM('зпл дезинс'!F24)</f>
        <v>0.76</v>
      </c>
      <c r="E32" s="217">
        <f t="shared" si="24"/>
        <v>0.08</v>
      </c>
      <c r="F32" s="217">
        <f t="shared" si="18"/>
        <v>0.3</v>
      </c>
      <c r="G32" s="217">
        <f t="shared" si="25"/>
        <v>0.28999999999999998</v>
      </c>
      <c r="H32" s="217">
        <f t="shared" si="14"/>
        <v>0.01</v>
      </c>
      <c r="I32" s="217">
        <f t="shared" si="26"/>
        <v>1.31</v>
      </c>
      <c r="J32" s="217">
        <f t="shared" si="19"/>
        <v>2.4500000000000002</v>
      </c>
      <c r="K32" s="44">
        <v>30</v>
      </c>
      <c r="L32" s="217">
        <f t="shared" si="20"/>
        <v>3.19</v>
      </c>
      <c r="M32" s="217">
        <f t="shared" si="15"/>
        <v>0.1</v>
      </c>
      <c r="N32" s="217">
        <f t="shared" si="21"/>
        <v>3.29</v>
      </c>
      <c r="O32" s="44">
        <v>20</v>
      </c>
      <c r="P32" s="228">
        <f t="shared" si="22"/>
        <v>0.66</v>
      </c>
      <c r="Q32" s="228">
        <f t="shared" si="23"/>
        <v>3.95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</row>
    <row r="33" spans="1:41" ht="81.75" customHeight="1">
      <c r="A33" s="84" t="s">
        <v>101</v>
      </c>
      <c r="B33" s="94" t="s">
        <v>156</v>
      </c>
      <c r="C33" s="69" t="s">
        <v>108</v>
      </c>
      <c r="D33" s="217">
        <f>SUM('зпл дезинс'!F25)</f>
        <v>2.96</v>
      </c>
      <c r="E33" s="217">
        <f t="shared" si="24"/>
        <v>0.33</v>
      </c>
      <c r="F33" s="217">
        <f t="shared" si="18"/>
        <v>1.17</v>
      </c>
      <c r="G33" s="217">
        <f t="shared" si="25"/>
        <v>1.1200000000000001</v>
      </c>
      <c r="H33" s="217">
        <f t="shared" si="14"/>
        <v>0.05</v>
      </c>
      <c r="I33" s="217">
        <f t="shared" si="26"/>
        <v>5.09</v>
      </c>
      <c r="J33" s="217">
        <f t="shared" si="19"/>
        <v>9.5500000000000007</v>
      </c>
      <c r="K33" s="44">
        <v>30</v>
      </c>
      <c r="L33" s="217">
        <f t="shared" si="20"/>
        <v>12.42</v>
      </c>
      <c r="M33" s="217">
        <f t="shared" si="15"/>
        <v>0.38</v>
      </c>
      <c r="N33" s="217">
        <f t="shared" si="21"/>
        <v>12.8</v>
      </c>
      <c r="O33" s="44">
        <v>20</v>
      </c>
      <c r="P33" s="228">
        <f t="shared" si="22"/>
        <v>2.56</v>
      </c>
      <c r="Q33" s="228">
        <f t="shared" si="23"/>
        <v>15.36</v>
      </c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</row>
    <row r="34" spans="1:41" ht="77.25" customHeight="1">
      <c r="A34" s="84" t="s">
        <v>102</v>
      </c>
      <c r="B34" s="94" t="s">
        <v>155</v>
      </c>
      <c r="C34" s="69" t="s">
        <v>71</v>
      </c>
      <c r="D34" s="217">
        <f>SUM('зпл дезинс'!F26)</f>
        <v>3.56</v>
      </c>
      <c r="E34" s="217">
        <f t="shared" si="24"/>
        <v>0.39</v>
      </c>
      <c r="F34" s="217">
        <f t="shared" si="18"/>
        <v>1.4</v>
      </c>
      <c r="G34" s="217">
        <f t="shared" si="25"/>
        <v>1.34</v>
      </c>
      <c r="H34" s="217">
        <f t="shared" si="14"/>
        <v>0.06</v>
      </c>
      <c r="I34" s="217">
        <f t="shared" si="26"/>
        <v>6.12</v>
      </c>
      <c r="J34" s="217">
        <f t="shared" si="19"/>
        <v>11.47</v>
      </c>
      <c r="K34" s="44">
        <v>30</v>
      </c>
      <c r="L34" s="217">
        <f t="shared" si="20"/>
        <v>14.91</v>
      </c>
      <c r="M34" s="217">
        <f t="shared" si="15"/>
        <v>0.46</v>
      </c>
      <c r="N34" s="217">
        <f t="shared" si="21"/>
        <v>15.37</v>
      </c>
      <c r="O34" s="44">
        <v>20</v>
      </c>
      <c r="P34" s="228">
        <f t="shared" si="22"/>
        <v>3.07</v>
      </c>
      <c r="Q34" s="228">
        <f t="shared" si="23"/>
        <v>18.440000000000001</v>
      </c>
    </row>
    <row r="35" spans="1:41" ht="71.25" customHeight="1">
      <c r="A35" s="84" t="s">
        <v>103</v>
      </c>
      <c r="B35" s="94" t="s">
        <v>154</v>
      </c>
      <c r="C35" s="69" t="s">
        <v>70</v>
      </c>
      <c r="D35" s="217">
        <f>SUM('зпл дезинс'!F27)</f>
        <v>0.08</v>
      </c>
      <c r="E35" s="217">
        <f t="shared" si="24"/>
        <v>0.01</v>
      </c>
      <c r="F35" s="217">
        <f t="shared" si="18"/>
        <v>0.03</v>
      </c>
      <c r="G35" s="217">
        <f t="shared" si="25"/>
        <v>0.03</v>
      </c>
      <c r="H35" s="217">
        <f t="shared" si="14"/>
        <v>0</v>
      </c>
      <c r="I35" s="217">
        <f t="shared" si="26"/>
        <v>0.14000000000000001</v>
      </c>
      <c r="J35" s="217">
        <f t="shared" si="19"/>
        <v>0.26</v>
      </c>
      <c r="K35" s="44">
        <v>30</v>
      </c>
      <c r="L35" s="217">
        <f t="shared" si="20"/>
        <v>0.34</v>
      </c>
      <c r="M35" s="217">
        <f t="shared" si="15"/>
        <v>0.01</v>
      </c>
      <c r="N35" s="217">
        <f t="shared" si="21"/>
        <v>0.35</v>
      </c>
      <c r="O35" s="44">
        <v>20</v>
      </c>
      <c r="P35" s="228">
        <f t="shared" si="22"/>
        <v>7.0000000000000007E-2</v>
      </c>
      <c r="Q35" s="228">
        <f t="shared" si="23"/>
        <v>0.42</v>
      </c>
    </row>
    <row r="36" spans="1:41" ht="87" customHeight="1">
      <c r="A36" s="84" t="s">
        <v>104</v>
      </c>
      <c r="B36" s="94" t="s">
        <v>157</v>
      </c>
      <c r="C36" s="69" t="s">
        <v>70</v>
      </c>
      <c r="D36" s="217">
        <f>SUM('зпл дезинс'!F28)</f>
        <v>0.44</v>
      </c>
      <c r="E36" s="217">
        <f t="shared" si="24"/>
        <v>0.05</v>
      </c>
      <c r="F36" s="217">
        <f t="shared" si="18"/>
        <v>0.18</v>
      </c>
      <c r="G36" s="217">
        <f t="shared" si="25"/>
        <v>0.17</v>
      </c>
      <c r="H36" s="217">
        <f t="shared" si="14"/>
        <v>0.01</v>
      </c>
      <c r="I36" s="217">
        <f t="shared" si="26"/>
        <v>0.76</v>
      </c>
      <c r="J36" s="217">
        <f t="shared" si="19"/>
        <v>1.43</v>
      </c>
      <c r="K36" s="44">
        <v>30</v>
      </c>
      <c r="L36" s="217">
        <f t="shared" si="20"/>
        <v>1.86</v>
      </c>
      <c r="M36" s="217">
        <f t="shared" si="15"/>
        <v>0.06</v>
      </c>
      <c r="N36" s="217">
        <f t="shared" si="21"/>
        <v>1.92</v>
      </c>
      <c r="O36" s="44">
        <v>20</v>
      </c>
      <c r="P36" s="228">
        <f t="shared" si="22"/>
        <v>0.38</v>
      </c>
      <c r="Q36" s="228">
        <f t="shared" si="23"/>
        <v>2.2999999999999998</v>
      </c>
    </row>
    <row r="37" spans="1:41" ht="110.25" customHeight="1">
      <c r="A37" s="84" t="s">
        <v>105</v>
      </c>
      <c r="B37" s="94" t="s">
        <v>153</v>
      </c>
      <c r="C37" s="69" t="s">
        <v>109</v>
      </c>
      <c r="D37" s="217">
        <f>SUM('зпл дезинс'!F29)</f>
        <v>14.88</v>
      </c>
      <c r="E37" s="217">
        <f t="shared" si="24"/>
        <v>1.64</v>
      </c>
      <c r="F37" s="217">
        <f t="shared" si="18"/>
        <v>5.88</v>
      </c>
      <c r="G37" s="217">
        <f t="shared" si="25"/>
        <v>5.62</v>
      </c>
      <c r="H37" s="217">
        <f t="shared" si="14"/>
        <v>0.26</v>
      </c>
      <c r="I37" s="217">
        <f t="shared" si="26"/>
        <v>25.6</v>
      </c>
      <c r="J37" s="217">
        <f t="shared" si="19"/>
        <v>48</v>
      </c>
      <c r="K37" s="44">
        <v>30</v>
      </c>
      <c r="L37" s="217">
        <f t="shared" si="20"/>
        <v>62.4</v>
      </c>
      <c r="M37" s="217">
        <f t="shared" si="15"/>
        <v>1.93</v>
      </c>
      <c r="N37" s="217">
        <f t="shared" si="21"/>
        <v>64.33</v>
      </c>
      <c r="O37" s="44">
        <v>20</v>
      </c>
      <c r="P37" s="228">
        <f t="shared" si="22"/>
        <v>12.87</v>
      </c>
      <c r="Q37" s="228">
        <f t="shared" si="23"/>
        <v>77.2</v>
      </c>
    </row>
    <row r="38" spans="1:41" ht="69.75" customHeight="1">
      <c r="A38" s="84" t="s">
        <v>106</v>
      </c>
      <c r="B38" s="94" t="s">
        <v>107</v>
      </c>
      <c r="C38" s="69" t="s">
        <v>70</v>
      </c>
      <c r="D38" s="217">
        <f>SUM('зпл дезинс'!F30)</f>
        <v>4.4400000000000004</v>
      </c>
      <c r="E38" s="217">
        <f t="shared" si="24"/>
        <v>0.49</v>
      </c>
      <c r="F38" s="217">
        <f t="shared" si="18"/>
        <v>1.76</v>
      </c>
      <c r="G38" s="217">
        <f t="shared" si="25"/>
        <v>1.68</v>
      </c>
      <c r="H38" s="217">
        <f t="shared" si="14"/>
        <v>0.08</v>
      </c>
      <c r="I38" s="217">
        <f t="shared" si="26"/>
        <v>7.64</v>
      </c>
      <c r="J38" s="217">
        <f t="shared" si="19"/>
        <v>14.33</v>
      </c>
      <c r="K38" s="44">
        <v>30</v>
      </c>
      <c r="L38" s="217">
        <f t="shared" si="20"/>
        <v>18.63</v>
      </c>
      <c r="M38" s="217">
        <f t="shared" si="15"/>
        <v>0.57999999999999996</v>
      </c>
      <c r="N38" s="217">
        <f t="shared" si="21"/>
        <v>19.21</v>
      </c>
      <c r="O38" s="44">
        <v>20</v>
      </c>
      <c r="P38" s="228">
        <f t="shared" si="22"/>
        <v>3.84</v>
      </c>
      <c r="Q38" s="228">
        <f t="shared" si="23"/>
        <v>23.05</v>
      </c>
    </row>
    <row r="41" spans="1:41" ht="15.75">
      <c r="C41" s="102"/>
    </row>
  </sheetData>
  <mergeCells count="8">
    <mergeCell ref="O6:Q6"/>
    <mergeCell ref="B29:Q29"/>
    <mergeCell ref="B8:P8"/>
    <mergeCell ref="A7:P7"/>
    <mergeCell ref="S11:V11"/>
    <mergeCell ref="B12:Q12"/>
    <mergeCell ref="B17:Q17"/>
    <mergeCell ref="B25:Q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Справочная информация</vt:lpstr>
      <vt:lpstr> накл. расходы2017 </vt:lpstr>
      <vt:lpstr>Расчет доп. ФОТ </vt:lpstr>
      <vt:lpstr>з.пл. за 1 мин. </vt:lpstr>
      <vt:lpstr>зпл.дезинф.</vt:lpstr>
      <vt:lpstr>зпл дезинс</vt:lpstr>
      <vt:lpstr>зпл.дерат.</vt:lpstr>
      <vt:lpstr> план.кальк.дезинф</vt:lpstr>
      <vt:lpstr> план.каль.дезинс.</vt:lpstr>
      <vt:lpstr> план. кальк.дерат</vt:lpstr>
      <vt:lpstr>З.П.Упр и всп пер</vt:lpstr>
      <vt:lpstr>транспорт</vt:lpstr>
      <vt:lpstr>нора расх мат</vt:lpstr>
      <vt:lpstr>прейскурант</vt:lpstr>
      <vt:lpstr>прейскурант 2</vt:lpstr>
      <vt:lpstr>' накл. расходы2017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2020-04-01T06:19:51Z</cp:lastPrinted>
  <dcterms:created xsi:type="dcterms:W3CDTF">1996-10-08T23:32:33Z</dcterms:created>
  <dcterms:modified xsi:type="dcterms:W3CDTF">2020-04-02T09:45:17Z</dcterms:modified>
</cp:coreProperties>
</file>