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15" yWindow="-15" windowWidth="7680" windowHeight="9105" tabRatio="905" firstSheet="6" activeTab="11"/>
  </bookViews>
  <sheets>
    <sheet name="Справ. инф" sheetId="23" r:id="rId1"/>
    <sheet name=" накл. расходы  " sheetId="8" r:id="rId2"/>
    <sheet name="Расчет доп. ФОТ " sheetId="16" r:id="rId3"/>
    <sheet name="з.пл. за 1 мин. " sheetId="4" r:id="rId4"/>
    <sheet name="3.1 зпл.дезинф." sheetId="21" r:id="rId5"/>
    <sheet name="2.1зпл дезинс" sheetId="19" r:id="rId6"/>
    <sheet name="1.1 зпл.дерат." sheetId="5" r:id="rId7"/>
    <sheet name="3.1. план.кальк.дезинф" sheetId="20" r:id="rId8"/>
    <sheet name="2.1. план.каль.дезинс." sheetId="18" r:id="rId9"/>
    <sheet name=" 1.1.план. кальк.дерат" sheetId="17" r:id="rId10"/>
    <sheet name="З.П.Упр и всп пер" sheetId="24" r:id="rId11"/>
    <sheet name="транспорт" sheetId="25" r:id="rId12"/>
    <sheet name="нора расх мат" sheetId="26" r:id="rId13"/>
    <sheet name="прейскурант" sheetId="27" r:id="rId14"/>
    <sheet name="Лист2" sheetId="29" r:id="rId15"/>
    <sheet name="Лист1" sheetId="30" r:id="rId16"/>
  </sheets>
  <definedNames>
    <definedName name="_xlnm.Print_Area" localSheetId="1">' накл. расходы  '!$A$1:$J$40</definedName>
    <definedName name="_xlnm.Print_Area" localSheetId="0">'Справ. инф'!$A$1:$N$94</definedName>
  </definedNames>
  <calcPr calcId="125725"/>
</workbook>
</file>

<file path=xl/calcChain.xml><?xml version="1.0" encoding="utf-8"?>
<calcChain xmlns="http://schemas.openxmlformats.org/spreadsheetml/2006/main">
  <c r="J56" i="23"/>
  <c r="J25"/>
  <c r="L22"/>
  <c r="F79" i="27"/>
  <c r="F72"/>
  <c r="F68"/>
  <c r="F65"/>
  <c r="F60"/>
  <c r="F53"/>
  <c r="K47" i="23"/>
  <c r="F47" i="27"/>
  <c r="K43" i="23"/>
  <c r="K42"/>
  <c r="K41"/>
  <c r="F40" i="27"/>
  <c r="K34" i="23"/>
  <c r="K33"/>
  <c r="F35" i="27"/>
  <c r="K30" i="23"/>
  <c r="F32" i="27"/>
  <c r="K25" i="23"/>
  <c r="F28" i="27" s="1"/>
  <c r="K21" i="23"/>
  <c r="F22" i="27"/>
  <c r="K15" i="23"/>
  <c r="F18" i="27" s="1"/>
  <c r="K14" i="23"/>
  <c r="J78"/>
  <c r="L78"/>
  <c r="J66"/>
  <c r="J38"/>
  <c r="J33"/>
  <c r="G11" i="25"/>
  <c r="G12"/>
  <c r="G13"/>
  <c r="G14"/>
  <c r="G15"/>
  <c r="G16"/>
  <c r="J20" i="23"/>
  <c r="J19"/>
  <c r="J15"/>
  <c r="J47"/>
  <c r="L77"/>
  <c r="G79" i="27" s="1"/>
  <c r="J24" i="23"/>
  <c r="G73" i="27"/>
  <c r="G74"/>
  <c r="G75"/>
  <c r="G54"/>
  <c r="G55"/>
  <c r="G38"/>
  <c r="G27"/>
  <c r="G20"/>
  <c r="F52"/>
  <c r="F80"/>
  <c r="F73"/>
  <c r="F74"/>
  <c r="F75"/>
  <c r="F77"/>
  <c r="F78"/>
  <c r="F69"/>
  <c r="F71"/>
  <c r="F66"/>
  <c r="F67"/>
  <c r="F63"/>
  <c r="F62"/>
  <c r="F61"/>
  <c r="F59"/>
  <c r="F58"/>
  <c r="F54"/>
  <c r="F55"/>
  <c r="F48"/>
  <c r="F49"/>
  <c r="F50"/>
  <c r="F51"/>
  <c r="F42"/>
  <c r="F44"/>
  <c r="F45"/>
  <c r="F46"/>
  <c r="F36"/>
  <c r="F37"/>
  <c r="F38"/>
  <c r="F41"/>
  <c r="F33"/>
  <c r="F31"/>
  <c r="F27"/>
  <c r="F23"/>
  <c r="F24"/>
  <c r="F25"/>
  <c r="F26"/>
  <c r="F19"/>
  <c r="F20"/>
  <c r="F17"/>
  <c r="J48" i="23"/>
  <c r="J32"/>
  <c r="H24" i="17"/>
  <c r="H25"/>
  <c r="H14"/>
  <c r="H14" i="18"/>
  <c r="H26" i="20"/>
  <c r="H27"/>
  <c r="H14"/>
  <c r="M21" i="4"/>
  <c r="M20"/>
  <c r="K21"/>
  <c r="K20"/>
  <c r="K24" s="1"/>
  <c r="C12" i="8"/>
  <c r="D30" i="24"/>
  <c r="D12"/>
  <c r="G80" i="27"/>
  <c r="L76" i="23"/>
  <c r="G78" i="27" s="1"/>
  <c r="L75" i="23"/>
  <c r="G77" i="27" s="1"/>
  <c r="L73" i="23"/>
  <c r="L72"/>
  <c r="L71"/>
  <c r="L70"/>
  <c r="G72" i="27" s="1"/>
  <c r="L69" i="23"/>
  <c r="G71" i="27" s="1"/>
  <c r="L67" i="23"/>
  <c r="G69" i="27" s="1"/>
  <c r="L66" i="23"/>
  <c r="G68" i="27" s="1"/>
  <c r="L65" i="23"/>
  <c r="G67" i="27" s="1"/>
  <c r="L64" i="23"/>
  <c r="G66" i="27" s="1"/>
  <c r="L63" i="23"/>
  <c r="G65" i="27" s="1"/>
  <c r="L61" i="23"/>
  <c r="G63" i="27" s="1"/>
  <c r="L60" i="23"/>
  <c r="G62" i="27" s="1"/>
  <c r="L59" i="23"/>
  <c r="G61" i="27" s="1"/>
  <c r="L58" i="23"/>
  <c r="G60" i="27" s="1"/>
  <c r="L57" i="23"/>
  <c r="G59" i="27" s="1"/>
  <c r="L56" i="23"/>
  <c r="G58" i="27" s="1"/>
  <c r="L54" i="23"/>
  <c r="L53"/>
  <c r="L52"/>
  <c r="L51"/>
  <c r="L50"/>
  <c r="G53" i="27" s="1"/>
  <c r="L49" i="23"/>
  <c r="L48"/>
  <c r="G51" i="27" s="1"/>
  <c r="G50"/>
  <c r="L46" i="23"/>
  <c r="G49" i="27" s="1"/>
  <c r="L45" i="23"/>
  <c r="G48" i="27" s="1"/>
  <c r="L44" i="23"/>
  <c r="G47" i="27" s="1"/>
  <c r="G46"/>
  <c r="L42" i="23"/>
  <c r="G45" i="27" s="1"/>
  <c r="G44"/>
  <c r="L39" i="23"/>
  <c r="G42" i="27" s="1"/>
  <c r="L38" i="23"/>
  <c r="G41" i="27" s="1"/>
  <c r="L37" i="23"/>
  <c r="G40" i="27" s="1"/>
  <c r="L35" i="23"/>
  <c r="L34"/>
  <c r="G37" i="27" s="1"/>
  <c r="G36"/>
  <c r="L32" i="23"/>
  <c r="G35" i="27" s="1"/>
  <c r="G33"/>
  <c r="L29" i="23"/>
  <c r="G32" i="27" s="1"/>
  <c r="L28" i="23"/>
  <c r="G31" i="27" s="1"/>
  <c r="G28"/>
  <c r="L24" i="23"/>
  <c r="L23"/>
  <c r="G26" i="27" s="1"/>
  <c r="G25"/>
  <c r="G24"/>
  <c r="L20" i="23"/>
  <c r="G23" i="27" s="1"/>
  <c r="L19" i="23"/>
  <c r="G22" i="27" s="1"/>
  <c r="L17" i="23"/>
  <c r="L16"/>
  <c r="G19" i="27" s="1"/>
  <c r="G18"/>
  <c r="L14" i="23"/>
  <c r="G17" i="27" s="1"/>
  <c r="P26" i="20"/>
  <c r="P27"/>
  <c r="P24" i="17"/>
  <c r="P25"/>
  <c r="J16" i="23"/>
  <c r="J17"/>
  <c r="J21"/>
  <c r="J22"/>
  <c r="J23"/>
  <c r="J28"/>
  <c r="J29"/>
  <c r="J30"/>
  <c r="J34"/>
  <c r="J35"/>
  <c r="J37"/>
  <c r="J39"/>
  <c r="J41"/>
  <c r="J42"/>
  <c r="J43"/>
  <c r="J44"/>
  <c r="J45"/>
  <c r="J46"/>
  <c r="J49"/>
  <c r="J50"/>
  <c r="J51"/>
  <c r="J52"/>
  <c r="J53"/>
  <c r="J54"/>
  <c r="J57"/>
  <c r="J58"/>
  <c r="J59"/>
  <c r="J60"/>
  <c r="J61"/>
  <c r="J63"/>
  <c r="J64"/>
  <c r="J65"/>
  <c r="J67"/>
  <c r="J69"/>
  <c r="J70"/>
  <c r="J71"/>
  <c r="J72"/>
  <c r="J73"/>
  <c r="J75"/>
  <c r="J76"/>
  <c r="J77"/>
  <c r="J14"/>
  <c r="G52" i="27" l="1"/>
  <c r="K23" i="4"/>
  <c r="G14"/>
  <c r="M24"/>
  <c r="K22"/>
  <c r="M23"/>
  <c r="M25" s="1"/>
  <c r="D13" s="1"/>
  <c r="F13" s="1"/>
  <c r="J13" s="1"/>
  <c r="L13" s="1"/>
  <c r="M13" s="1"/>
  <c r="M16"/>
  <c r="C13" s="1"/>
  <c r="K13" s="1"/>
  <c r="K25" l="1"/>
  <c r="D14" s="1"/>
  <c r="F14" s="1"/>
  <c r="J14" s="1"/>
  <c r="L14" s="1"/>
  <c r="M14" s="1"/>
  <c r="C14"/>
  <c r="K14" s="1"/>
  <c r="C13" i="8"/>
  <c r="H10" i="24"/>
  <c r="G10"/>
  <c r="F10"/>
  <c r="E10"/>
  <c r="H7"/>
  <c r="E6"/>
  <c r="F6"/>
  <c r="G6"/>
  <c r="H6"/>
  <c r="G81" i="27"/>
  <c r="F81"/>
  <c r="G7" i="24"/>
  <c r="F16"/>
  <c r="E16"/>
  <c r="G29"/>
  <c r="H16"/>
  <c r="H17"/>
  <c r="H18"/>
  <c r="H19"/>
  <c r="H20"/>
  <c r="H21"/>
  <c r="H22"/>
  <c r="H23"/>
  <c r="H24"/>
  <c r="H25"/>
  <c r="H26"/>
  <c r="H27"/>
  <c r="H28"/>
  <c r="H29"/>
  <c r="H15"/>
  <c r="G16"/>
  <c r="G17"/>
  <c r="G18"/>
  <c r="G19"/>
  <c r="G20"/>
  <c r="G21"/>
  <c r="G22"/>
  <c r="G23"/>
  <c r="G24"/>
  <c r="G25"/>
  <c r="G26"/>
  <c r="G27"/>
  <c r="G28"/>
  <c r="G15"/>
  <c r="F17"/>
  <c r="F18"/>
  <c r="F19"/>
  <c r="F20"/>
  <c r="F21"/>
  <c r="F22"/>
  <c r="F23"/>
  <c r="F24"/>
  <c r="F25"/>
  <c r="F26"/>
  <c r="F27"/>
  <c r="F28"/>
  <c r="F29"/>
  <c r="F15"/>
  <c r="E17"/>
  <c r="E18"/>
  <c r="E19"/>
  <c r="E20"/>
  <c r="E21"/>
  <c r="E22"/>
  <c r="E23"/>
  <c r="E24"/>
  <c r="E25"/>
  <c r="E26"/>
  <c r="E27"/>
  <c r="E28"/>
  <c r="E29"/>
  <c r="E15"/>
  <c r="H8"/>
  <c r="H9"/>
  <c r="H11"/>
  <c r="G8"/>
  <c r="G9"/>
  <c r="G11"/>
  <c r="F7"/>
  <c r="F8"/>
  <c r="F9"/>
  <c r="F11"/>
  <c r="E7"/>
  <c r="E8"/>
  <c r="E9"/>
  <c r="E11"/>
  <c r="C11" i="8"/>
  <c r="C10" s="1"/>
  <c r="C35" s="1"/>
  <c r="C37" s="1"/>
  <c r="C16"/>
  <c r="C21"/>
  <c r="G14" i="20"/>
  <c r="D16" i="17"/>
  <c r="H16" s="1"/>
  <c r="D18"/>
  <c r="H18" s="1"/>
  <c r="D21"/>
  <c r="H21" s="1"/>
  <c r="G14"/>
  <c r="G16"/>
  <c r="G18"/>
  <c r="G21"/>
  <c r="D21" i="18"/>
  <c r="D19"/>
  <c r="H19" s="1"/>
  <c r="G14"/>
  <c r="D23" i="20"/>
  <c r="H23" s="1"/>
  <c r="D17"/>
  <c r="H17" s="1"/>
  <c r="I10" l="1"/>
  <c r="H13" i="4"/>
  <c r="G17" i="20"/>
  <c r="G23"/>
  <c r="F30" i="24"/>
  <c r="H12"/>
  <c r="F12"/>
  <c r="G12"/>
  <c r="E12"/>
  <c r="G30"/>
  <c r="C5" i="16" s="1"/>
  <c r="H30" i="24"/>
  <c r="G19" i="18"/>
  <c r="E30" i="24"/>
  <c r="I14" i="20" l="1"/>
  <c r="J14" s="1"/>
  <c r="L14" s="1"/>
  <c r="M14" s="1"/>
  <c r="N14" s="1"/>
  <c r="P14" s="1"/>
  <c r="I23"/>
  <c r="J23" s="1"/>
  <c r="L23" s="1"/>
  <c r="M23" s="1"/>
  <c r="N23" s="1"/>
  <c r="P23" s="1"/>
  <c r="I10" i="18"/>
  <c r="I10" i="17" s="1"/>
  <c r="I17" i="20"/>
  <c r="J17" s="1"/>
  <c r="L17" s="1"/>
  <c r="M17" s="1"/>
  <c r="N17" s="1"/>
  <c r="P17" s="1"/>
  <c r="E36" i="8"/>
  <c r="E9"/>
  <c r="E22" i="21"/>
  <c r="F22" s="1"/>
  <c r="D30" i="20" s="1"/>
  <c r="E15" i="19"/>
  <c r="F15" s="1"/>
  <c r="D20" i="18" s="1"/>
  <c r="E25" i="19"/>
  <c r="F25" s="1"/>
  <c r="D33" i="18" s="1"/>
  <c r="I33" s="1"/>
  <c r="E20" i="5"/>
  <c r="F20" s="1"/>
  <c r="D26" i="17" s="1"/>
  <c r="E30" i="19"/>
  <c r="F30" s="1"/>
  <c r="D38" i="18" s="1"/>
  <c r="E15" i="21"/>
  <c r="F15" s="1"/>
  <c r="D20" i="20" s="1"/>
  <c r="E14" i="5"/>
  <c r="F14" s="1"/>
  <c r="D15" i="17" s="1"/>
  <c r="E17" i="21"/>
  <c r="F17" s="1"/>
  <c r="D22" i="20" s="1"/>
  <c r="E11" i="21"/>
  <c r="F11" s="1"/>
  <c r="D15" i="20" s="1"/>
  <c r="E19" i="19"/>
  <c r="F19" s="1"/>
  <c r="D27" i="18" s="1"/>
  <c r="E13" i="5"/>
  <c r="F13" s="1"/>
  <c r="D13" i="17" s="1"/>
  <c r="E23" i="21"/>
  <c r="F23" s="1"/>
  <c r="D31" i="20" s="1"/>
  <c r="E24" i="19"/>
  <c r="F24" s="1"/>
  <c r="D32" i="18" s="1"/>
  <c r="E26" i="19"/>
  <c r="F26" s="1"/>
  <c r="D34" i="18" s="1"/>
  <c r="E21" i="5"/>
  <c r="F21" s="1"/>
  <c r="D27" i="17" s="1"/>
  <c r="E27" i="19"/>
  <c r="F27" s="1"/>
  <c r="D35" i="18" s="1"/>
  <c r="E12" i="21"/>
  <c r="F12" s="1"/>
  <c r="D16" i="20" s="1"/>
  <c r="E17" i="5"/>
  <c r="F17" s="1"/>
  <c r="D20" i="17" s="1"/>
  <c r="E18" i="21"/>
  <c r="F18" s="1"/>
  <c r="D24" i="20" s="1"/>
  <c r="E27" i="21"/>
  <c r="F27" s="1"/>
  <c r="D35" i="20" s="1"/>
  <c r="E20" i="19"/>
  <c r="F20" s="1"/>
  <c r="D28" i="18" s="1"/>
  <c r="E12" i="19"/>
  <c r="F12" s="1"/>
  <c r="D16" i="18" s="1"/>
  <c r="E26" i="21"/>
  <c r="F26" s="1"/>
  <c r="D34" i="20" s="1"/>
  <c r="E14" i="19"/>
  <c r="F14" s="1"/>
  <c r="D18" i="18" s="1"/>
  <c r="E28" i="19"/>
  <c r="F28" s="1"/>
  <c r="D36" i="18" s="1"/>
  <c r="E20" i="21"/>
  <c r="F20" s="1"/>
  <c r="D28" i="20" s="1"/>
  <c r="E29" i="19"/>
  <c r="F29" s="1"/>
  <c r="D37" i="18" s="1"/>
  <c r="E23" i="19"/>
  <c r="F23" s="1"/>
  <c r="D31" i="18" s="1"/>
  <c r="E19" i="5"/>
  <c r="F19" s="1"/>
  <c r="D23" i="17" s="1"/>
  <c r="E25" i="21"/>
  <c r="F25" s="1"/>
  <c r="D33" i="20" s="1"/>
  <c r="E10" i="21"/>
  <c r="F10" s="1"/>
  <c r="D13" i="20" s="1"/>
  <c r="E15" i="5"/>
  <c r="F15" s="1"/>
  <c r="D17" i="17" s="1"/>
  <c r="E11" i="19"/>
  <c r="F11" s="1"/>
  <c r="D15" i="18" s="1"/>
  <c r="E10" i="19"/>
  <c r="F10" s="1"/>
  <c r="D13" i="18" s="1"/>
  <c r="E18" i="19"/>
  <c r="F18" s="1"/>
  <c r="D26" i="18" s="1"/>
  <c r="E18" i="5"/>
  <c r="F18" s="1"/>
  <c r="D22" i="17" s="1"/>
  <c r="E19" i="21"/>
  <c r="F19" s="1"/>
  <c r="D25" i="20" s="1"/>
  <c r="E13" i="21"/>
  <c r="F13" s="1"/>
  <c r="D18" i="20" s="1"/>
  <c r="E22" i="19"/>
  <c r="F22" s="1"/>
  <c r="D30" i="18" s="1"/>
  <c r="E14" i="21"/>
  <c r="F14" s="1"/>
  <c r="D19" i="20" s="1"/>
  <c r="E28" i="21"/>
  <c r="F28" s="1"/>
  <c r="D36" i="20" s="1"/>
  <c r="E16" i="19"/>
  <c r="F16" s="1"/>
  <c r="D22" i="18" s="1"/>
  <c r="I13" i="20"/>
  <c r="H14" i="4"/>
  <c r="E22" i="5" s="1"/>
  <c r="F22" s="1"/>
  <c r="D28" i="17" s="1"/>
  <c r="I35" i="18"/>
  <c r="I19"/>
  <c r="J19" s="1"/>
  <c r="L19" s="1"/>
  <c r="M19" s="1"/>
  <c r="N19" s="1"/>
  <c r="P19" s="1"/>
  <c r="C6" i="16"/>
  <c r="I14" i="17"/>
  <c r="J14" s="1"/>
  <c r="L14" s="1"/>
  <c r="I36" i="20" l="1"/>
  <c r="I30" i="18"/>
  <c r="I25" i="20"/>
  <c r="I26" i="18"/>
  <c r="I37"/>
  <c r="I34" i="20"/>
  <c r="I24"/>
  <c r="I16"/>
  <c r="I15"/>
  <c r="I15" i="17"/>
  <c r="I30" i="20"/>
  <c r="I19"/>
  <c r="I18"/>
  <c r="I17" i="17"/>
  <c r="I33" i="20"/>
  <c r="I31" i="18"/>
  <c r="I28" i="20"/>
  <c r="I35"/>
  <c r="I31"/>
  <c r="I22"/>
  <c r="I20"/>
  <c r="I13" i="17"/>
  <c r="I22"/>
  <c r="I21"/>
  <c r="J21" s="1"/>
  <c r="L21" s="1"/>
  <c r="I36" i="18"/>
  <c r="I28"/>
  <c r="I27"/>
  <c r="I20" i="17"/>
  <c r="Q14" i="20"/>
  <c r="R14" s="1"/>
  <c r="I23" i="17"/>
  <c r="I18"/>
  <c r="J18" s="1"/>
  <c r="L18" s="1"/>
  <c r="I16"/>
  <c r="J16" s="1"/>
  <c r="L16" s="1"/>
  <c r="M16" s="1"/>
  <c r="N16" s="1"/>
  <c r="P16" s="1"/>
  <c r="I26"/>
  <c r="I27"/>
  <c r="I15" i="18"/>
  <c r="I14"/>
  <c r="J14" s="1"/>
  <c r="L14" s="1"/>
  <c r="M14" s="1"/>
  <c r="N14" s="1"/>
  <c r="P14" s="1"/>
  <c r="I38"/>
  <c r="I20"/>
  <c r="I21"/>
  <c r="I32"/>
  <c r="I28" i="17"/>
  <c r="I22" i="18"/>
  <c r="I13"/>
  <c r="I18"/>
  <c r="I16"/>
  <c r="I34"/>
  <c r="Q17" i="20"/>
  <c r="R17" s="1"/>
  <c r="Q23"/>
  <c r="R23" s="1"/>
  <c r="C7" i="16"/>
  <c r="E10" i="20" s="1"/>
  <c r="M14" i="17"/>
  <c r="N14" s="1"/>
  <c r="P14" s="1"/>
  <c r="M21"/>
  <c r="N21" s="1"/>
  <c r="P21" s="1"/>
  <c r="Q19" i="18"/>
  <c r="R19" s="1"/>
  <c r="M18" i="17"/>
  <c r="N18" s="1"/>
  <c r="Q14" i="18" l="1"/>
  <c r="R14" s="1"/>
  <c r="E10" i="17"/>
  <c r="E13" s="1"/>
  <c r="H13" s="1"/>
  <c r="E10" i="18"/>
  <c r="E20" s="1"/>
  <c r="H20" s="1"/>
  <c r="E13" i="20"/>
  <c r="E36"/>
  <c r="H36" s="1"/>
  <c r="E28"/>
  <c r="H28" s="1"/>
  <c r="E16"/>
  <c r="H16" s="1"/>
  <c r="E18"/>
  <c r="H18" s="1"/>
  <c r="E31"/>
  <c r="H31" s="1"/>
  <c r="E20"/>
  <c r="H20" s="1"/>
  <c r="E15"/>
  <c r="H15" s="1"/>
  <c r="E35"/>
  <c r="H35" s="1"/>
  <c r="E25"/>
  <c r="H25" s="1"/>
  <c r="E22"/>
  <c r="H22" s="1"/>
  <c r="E33"/>
  <c r="H33" s="1"/>
  <c r="E24"/>
  <c r="H24" s="1"/>
  <c r="E34"/>
  <c r="H34" s="1"/>
  <c r="E19"/>
  <c r="H19" s="1"/>
  <c r="E30"/>
  <c r="H30" s="1"/>
  <c r="G24"/>
  <c r="F24" s="1"/>
  <c r="J24" s="1"/>
  <c r="L24" s="1"/>
  <c r="M24" s="1"/>
  <c r="N24" s="1"/>
  <c r="P24" s="1"/>
  <c r="G33"/>
  <c r="F33" s="1"/>
  <c r="J33" s="1"/>
  <c r="L33" s="1"/>
  <c r="M33" s="1"/>
  <c r="N33" s="1"/>
  <c r="P33" s="1"/>
  <c r="G35"/>
  <c r="F35" s="1"/>
  <c r="J35" s="1"/>
  <c r="L35" s="1"/>
  <c r="G34"/>
  <c r="G15"/>
  <c r="F15" s="1"/>
  <c r="J15" s="1"/>
  <c r="L15" s="1"/>
  <c r="G20"/>
  <c r="F20" s="1"/>
  <c r="J20" s="1"/>
  <c r="L20" s="1"/>
  <c r="G22"/>
  <c r="E36" i="18"/>
  <c r="H36" s="1"/>
  <c r="E35"/>
  <c r="H35" s="1"/>
  <c r="E38"/>
  <c r="H38" s="1"/>
  <c r="E26"/>
  <c r="H26" s="1"/>
  <c r="E31"/>
  <c r="H31" s="1"/>
  <c r="E20" i="17"/>
  <c r="H20" s="1"/>
  <c r="E26"/>
  <c r="H26" s="1"/>
  <c r="E23"/>
  <c r="H23" s="1"/>
  <c r="E17"/>
  <c r="H17" s="1"/>
  <c r="Q14"/>
  <c r="R14" s="1"/>
  <c r="P18"/>
  <c r="Q18" s="1"/>
  <c r="R18" s="1"/>
  <c r="Q21"/>
  <c r="R21" s="1"/>
  <c r="Q16"/>
  <c r="R16" s="1"/>
  <c r="F34" i="20"/>
  <c r="J34" s="1"/>
  <c r="L34" s="1"/>
  <c r="M34" s="1"/>
  <c r="N34" s="1"/>
  <c r="P34" s="1"/>
  <c r="G13" l="1"/>
  <c r="H13"/>
  <c r="E21" i="18"/>
  <c r="H21" s="1"/>
  <c r="E16"/>
  <c r="H16" s="1"/>
  <c r="E28"/>
  <c r="H28" s="1"/>
  <c r="E30"/>
  <c r="H30" s="1"/>
  <c r="E34"/>
  <c r="H34" s="1"/>
  <c r="G25" i="20"/>
  <c r="F25" s="1"/>
  <c r="J25" s="1"/>
  <c r="L25" s="1"/>
  <c r="M25" s="1"/>
  <c r="N25" s="1"/>
  <c r="P25" s="1"/>
  <c r="G16"/>
  <c r="F16" s="1"/>
  <c r="J16" s="1"/>
  <c r="L16" s="1"/>
  <c r="M16" s="1"/>
  <c r="N16" s="1"/>
  <c r="P16" s="1"/>
  <c r="E27" i="17"/>
  <c r="H27" s="1"/>
  <c r="E15"/>
  <c r="H15" s="1"/>
  <c r="E22"/>
  <c r="H22" s="1"/>
  <c r="E28"/>
  <c r="H28" s="1"/>
  <c r="G19" i="20"/>
  <c r="F19" s="1"/>
  <c r="J19" s="1"/>
  <c r="L19" s="1"/>
  <c r="M19" s="1"/>
  <c r="N19" s="1"/>
  <c r="P19" s="1"/>
  <c r="E37" i="18"/>
  <c r="H37" s="1"/>
  <c r="E33"/>
  <c r="H33" s="1"/>
  <c r="E27"/>
  <c r="H27" s="1"/>
  <c r="E22"/>
  <c r="H22" s="1"/>
  <c r="E18"/>
  <c r="H18" s="1"/>
  <c r="E32"/>
  <c r="H32" s="1"/>
  <c r="E15"/>
  <c r="H15" s="1"/>
  <c r="E13"/>
  <c r="H13" s="1"/>
  <c r="G30" i="20"/>
  <c r="F30" s="1"/>
  <c r="J30" s="1"/>
  <c r="L30" s="1"/>
  <c r="G36"/>
  <c r="F36" s="1"/>
  <c r="J36" s="1"/>
  <c r="L36" s="1"/>
  <c r="M36" s="1"/>
  <c r="N36" s="1"/>
  <c r="P36" s="1"/>
  <c r="G31"/>
  <c r="F31" s="1"/>
  <c r="J31" s="1"/>
  <c r="L31" s="1"/>
  <c r="G18"/>
  <c r="G28"/>
  <c r="F13"/>
  <c r="J13" s="1"/>
  <c r="L13" s="1"/>
  <c r="M13" s="1"/>
  <c r="N13" s="1"/>
  <c r="P13" s="1"/>
  <c r="F22"/>
  <c r="J22" s="1"/>
  <c r="L22" s="1"/>
  <c r="M22" s="1"/>
  <c r="N22" s="1"/>
  <c r="G21" i="18"/>
  <c r="G31"/>
  <c r="G26"/>
  <c r="G28"/>
  <c r="G38"/>
  <c r="G35"/>
  <c r="G34"/>
  <c r="F34" s="1"/>
  <c r="J34" s="1"/>
  <c r="L34" s="1"/>
  <c r="M34" s="1"/>
  <c r="N34" s="1"/>
  <c r="P34" s="1"/>
  <c r="G36"/>
  <c r="F36" s="1"/>
  <c r="J36" s="1"/>
  <c r="L36" s="1"/>
  <c r="M36" s="1"/>
  <c r="N36" s="1"/>
  <c r="P36" s="1"/>
  <c r="G37"/>
  <c r="F37" s="1"/>
  <c r="J37" s="1"/>
  <c r="L37" s="1"/>
  <c r="M37" s="1"/>
  <c r="N37" s="1"/>
  <c r="P37" s="1"/>
  <c r="G27"/>
  <c r="F27" s="1"/>
  <c r="J27" s="1"/>
  <c r="L27" s="1"/>
  <c r="M27" s="1"/>
  <c r="N27" s="1"/>
  <c r="P27" s="1"/>
  <c r="G18"/>
  <c r="F18" s="1"/>
  <c r="J18" s="1"/>
  <c r="L18" s="1"/>
  <c r="M18" s="1"/>
  <c r="N18" s="1"/>
  <c r="G15"/>
  <c r="G20"/>
  <c r="G15" i="17"/>
  <c r="F15" s="1"/>
  <c r="J15" s="1"/>
  <c r="L15" s="1"/>
  <c r="M15" s="1"/>
  <c r="N15" s="1"/>
  <c r="G13"/>
  <c r="G20"/>
  <c r="F20" s="1"/>
  <c r="J20" s="1"/>
  <c r="L20" s="1"/>
  <c r="M20" s="1"/>
  <c r="N20" s="1"/>
  <c r="G17"/>
  <c r="G23"/>
  <c r="G26"/>
  <c r="G28"/>
  <c r="F28" s="1"/>
  <c r="J28" s="1"/>
  <c r="L28" s="1"/>
  <c r="M28" s="1"/>
  <c r="N28" s="1"/>
  <c r="P28" s="1"/>
  <c r="Q24" i="20"/>
  <c r="R24" s="1"/>
  <c r="M15"/>
  <c r="N15" s="1"/>
  <c r="P15" s="1"/>
  <c r="M35"/>
  <c r="N35" s="1"/>
  <c r="P35" s="1"/>
  <c r="M31"/>
  <c r="N31" s="1"/>
  <c r="P31" s="1"/>
  <c r="M20"/>
  <c r="N20" s="1"/>
  <c r="P20" s="1"/>
  <c r="M30"/>
  <c r="N30" s="1"/>
  <c r="P30" s="1"/>
  <c r="Q33"/>
  <c r="R33" s="1"/>
  <c r="Q16"/>
  <c r="Q34"/>
  <c r="R34" s="1"/>
  <c r="Q36" l="1"/>
  <c r="R36" s="1"/>
  <c r="G30" i="18"/>
  <c r="G16"/>
  <c r="G22" i="17"/>
  <c r="F22" s="1"/>
  <c r="J22" s="1"/>
  <c r="L22" s="1"/>
  <c r="M22" s="1"/>
  <c r="N22" s="1"/>
  <c r="P22" s="1"/>
  <c r="Q22" s="1"/>
  <c r="R22" s="1"/>
  <c r="G27"/>
  <c r="F27" s="1"/>
  <c r="J27" s="1"/>
  <c r="L27" s="1"/>
  <c r="M27" s="1"/>
  <c r="N27" s="1"/>
  <c r="G13" i="18"/>
  <c r="F13" s="1"/>
  <c r="J13" s="1"/>
  <c r="L13" s="1"/>
  <c r="M13" s="1"/>
  <c r="N13" s="1"/>
  <c r="P13" s="1"/>
  <c r="G32"/>
  <c r="F32" s="1"/>
  <c r="J32" s="1"/>
  <c r="L32" s="1"/>
  <c r="M32" s="1"/>
  <c r="N32" s="1"/>
  <c r="P32" s="1"/>
  <c r="G22"/>
  <c r="G33"/>
  <c r="F33" s="1"/>
  <c r="J33" s="1"/>
  <c r="L33" s="1"/>
  <c r="M33" s="1"/>
  <c r="N33" s="1"/>
  <c r="P33" s="1"/>
  <c r="P15" i="17"/>
  <c r="Q15" s="1"/>
  <c r="R15" s="1"/>
  <c r="P18" i="18"/>
  <c r="Q18" s="1"/>
  <c r="R18" s="1"/>
  <c r="P20" i="17"/>
  <c r="Q20" s="1"/>
  <c r="R20" s="1"/>
  <c r="P27"/>
  <c r="Q27" s="1"/>
  <c r="R27" s="1"/>
  <c r="P22" i="20"/>
  <c r="Q22" s="1"/>
  <c r="R22" s="1"/>
  <c r="F28"/>
  <c r="J28" s="1"/>
  <c r="L28" s="1"/>
  <c r="M28" s="1"/>
  <c r="N28" s="1"/>
  <c r="P28" s="1"/>
  <c r="F18"/>
  <c r="J18" s="1"/>
  <c r="L18" s="1"/>
  <c r="M18" s="1"/>
  <c r="N18" s="1"/>
  <c r="P18" s="1"/>
  <c r="F30" i="18"/>
  <c r="J30" s="1"/>
  <c r="L30" s="1"/>
  <c r="M30" s="1"/>
  <c r="N30" s="1"/>
  <c r="F38"/>
  <c r="J38" s="1"/>
  <c r="L38" s="1"/>
  <c r="M38" s="1"/>
  <c r="N38" s="1"/>
  <c r="F26"/>
  <c r="J26" s="1"/>
  <c r="L26" s="1"/>
  <c r="M26" s="1"/>
  <c r="N26" s="1"/>
  <c r="F16"/>
  <c r="J16" s="1"/>
  <c r="L16" s="1"/>
  <c r="M16" s="1"/>
  <c r="N16" s="1"/>
  <c r="F20"/>
  <c r="J20" s="1"/>
  <c r="L20" s="1"/>
  <c r="M20" s="1"/>
  <c r="N20" s="1"/>
  <c r="F15"/>
  <c r="J15" s="1"/>
  <c r="L15" s="1"/>
  <c r="M15" s="1"/>
  <c r="N15" s="1"/>
  <c r="F22"/>
  <c r="J22" s="1"/>
  <c r="L22" s="1"/>
  <c r="M22" s="1"/>
  <c r="N22" s="1"/>
  <c r="F35"/>
  <c r="J35" s="1"/>
  <c r="L35" s="1"/>
  <c r="M35" s="1"/>
  <c r="N35" s="1"/>
  <c r="F28"/>
  <c r="J28" s="1"/>
  <c r="L28" s="1"/>
  <c r="M28" s="1"/>
  <c r="N28" s="1"/>
  <c r="F31"/>
  <c r="J31" s="1"/>
  <c r="L31" s="1"/>
  <c r="M31" s="1"/>
  <c r="N31" s="1"/>
  <c r="F21"/>
  <c r="J21" s="1"/>
  <c r="L21" s="1"/>
  <c r="M21" s="1"/>
  <c r="N21" s="1"/>
  <c r="F26" i="17"/>
  <c r="J26" s="1"/>
  <c r="L26" s="1"/>
  <c r="M26" s="1"/>
  <c r="N26" s="1"/>
  <c r="F23"/>
  <c r="J23" s="1"/>
  <c r="L23" s="1"/>
  <c r="M23" s="1"/>
  <c r="N23" s="1"/>
  <c r="F17"/>
  <c r="J17" s="1"/>
  <c r="L17" s="1"/>
  <c r="M17" s="1"/>
  <c r="N17" s="1"/>
  <c r="F13"/>
  <c r="J13" s="1"/>
  <c r="L13" s="1"/>
  <c r="M13" s="1"/>
  <c r="N13" s="1"/>
  <c r="Q30" i="20"/>
  <c r="R30" s="1"/>
  <c r="Q35"/>
  <c r="R35" s="1"/>
  <c r="R16"/>
  <c r="Q28" i="17"/>
  <c r="R28" s="1"/>
  <c r="Q20" i="20"/>
  <c r="Q37" i="18"/>
  <c r="R37" s="1"/>
  <c r="Q27"/>
  <c r="R27" s="1"/>
  <c r="Q19" i="20"/>
  <c r="Q34" i="18"/>
  <c r="R34" s="1"/>
  <c r="Q31" i="20"/>
  <c r="R31" s="1"/>
  <c r="Q13"/>
  <c r="Q15"/>
  <c r="Q36" i="18"/>
  <c r="R36" s="1"/>
  <c r="Q25" i="20"/>
  <c r="R25" s="1"/>
  <c r="Q13" i="18" l="1"/>
  <c r="R13" s="1"/>
  <c r="Q28" i="20"/>
  <c r="R28" s="1"/>
  <c r="Q18"/>
  <c r="Q33" i="18"/>
  <c r="R33" s="1"/>
  <c r="Q32"/>
  <c r="R32" s="1"/>
  <c r="P13" i="17"/>
  <c r="Q13" s="1"/>
  <c r="R13" s="1"/>
  <c r="P23"/>
  <c r="Q23" s="1"/>
  <c r="R23" s="1"/>
  <c r="P21" i="18"/>
  <c r="Q21" s="1"/>
  <c r="R21" s="1"/>
  <c r="P28"/>
  <c r="Q28" s="1"/>
  <c r="R28" s="1"/>
  <c r="P22"/>
  <c r="Q22" s="1"/>
  <c r="R22" s="1"/>
  <c r="P20"/>
  <c r="Q20" s="1"/>
  <c r="R20" s="1"/>
  <c r="P26"/>
  <c r="Q26" s="1"/>
  <c r="R26" s="1"/>
  <c r="P30"/>
  <c r="Q30" s="1"/>
  <c r="R30" s="1"/>
  <c r="P17" i="17"/>
  <c r="Q17" s="1"/>
  <c r="R17" s="1"/>
  <c r="P26"/>
  <c r="Q26" s="1"/>
  <c r="R26" s="1"/>
  <c r="P31" i="18"/>
  <c r="Q31" s="1"/>
  <c r="R31" s="1"/>
  <c r="P35"/>
  <c r="Q35" s="1"/>
  <c r="R35" s="1"/>
  <c r="P15"/>
  <c r="Q15" s="1"/>
  <c r="R15" s="1"/>
  <c r="P16"/>
  <c r="Q16" s="1"/>
  <c r="R16" s="1"/>
  <c r="P38"/>
  <c r="Q38" s="1"/>
  <c r="R38" s="1"/>
  <c r="R15" i="20"/>
  <c r="R19"/>
  <c r="R20"/>
  <c r="R13"/>
  <c r="R18"/>
</calcChain>
</file>

<file path=xl/sharedStrings.xml><?xml version="1.0" encoding="utf-8"?>
<sst xmlns="http://schemas.openxmlformats.org/spreadsheetml/2006/main" count="1371" uniqueCount="406">
  <si>
    <t>№ п/п</t>
  </si>
  <si>
    <t>Наименования статей затрат</t>
  </si>
  <si>
    <t>Себестоимость услуги</t>
  </si>
  <si>
    <t>Рентабельность к себестоимости</t>
  </si>
  <si>
    <t>Итого</t>
  </si>
  <si>
    <t>Тариф с учетом округления</t>
  </si>
  <si>
    <t>Главный бухгалтер</t>
  </si>
  <si>
    <t>УТВЕРЖДАЮ</t>
  </si>
  <si>
    <t>РАСЧЕТ</t>
  </si>
  <si>
    <t xml:space="preserve">заработной платы специалистов за одну минуту </t>
  </si>
  <si>
    <t>Должность специалиста, оказывающего платную медицинскую услугу</t>
  </si>
  <si>
    <t>Количество рабочих часов в месяц (ч)</t>
  </si>
  <si>
    <t>Заработная плата в месяц, в том числе (руб.)</t>
  </si>
  <si>
    <t>премия не более 30%</t>
  </si>
  <si>
    <t>Заработная плата за одну минуту (руб.)</t>
  </si>
  <si>
    <t xml:space="preserve">заработной платы специалистов </t>
  </si>
  <si>
    <t>Наименование платной медицинской услуги</t>
  </si>
  <si>
    <t>Норма времени (мин)</t>
  </si>
  <si>
    <t>Заработная плата специалиста за одну минуту</t>
  </si>
  <si>
    <t>Заработная плата специалиста (гр. 3 * гр. 5)</t>
  </si>
  <si>
    <t>Единица измерения</t>
  </si>
  <si>
    <t>Всего расходов (тыс. руб.)</t>
  </si>
  <si>
    <t>Начисления на оплату труда (к пункту 1):</t>
  </si>
  <si>
    <t>2.1</t>
  </si>
  <si>
    <t>2.2</t>
  </si>
  <si>
    <t>Эксплуатационные расходы по содержанию зданий, сооружений, оборудования и т. п.</t>
  </si>
  <si>
    <t>Оплата коммунальных услуг</t>
  </si>
  <si>
    <t>В том числе:</t>
  </si>
  <si>
    <t>5.1</t>
  </si>
  <si>
    <t>5.2</t>
  </si>
  <si>
    <t>5.3</t>
  </si>
  <si>
    <t>Оплата услуг связи</t>
  </si>
  <si>
    <t>Амортизация зданий, сооружений</t>
  </si>
  <si>
    <t>Оплата консультативных и информационных услуг</t>
  </si>
  <si>
    <t>Плата за ремонт и техническое обслуживание медицинского оборудования</t>
  </si>
  <si>
    <t>Плата за ремонт и техническое обслуживание сантехнического оборудования</t>
  </si>
  <si>
    <t>Оплата текущего ремонта зданий, сооружений</t>
  </si>
  <si>
    <t>руб.</t>
  </si>
  <si>
    <t>часов в месяц</t>
  </si>
  <si>
    <t>всего з/пл. в мес.</t>
  </si>
  <si>
    <t>зарплата за 1 час</t>
  </si>
  <si>
    <t>зарплата за 1 мин.</t>
  </si>
  <si>
    <t>исследование</t>
  </si>
  <si>
    <t>Содержание</t>
  </si>
  <si>
    <t>Уровень дополнительной оплаты труда, %</t>
  </si>
  <si>
    <t>Наименование услуги</t>
  </si>
  <si>
    <t>Накладные расходы</t>
  </si>
  <si>
    <t>Тариф без НДС</t>
  </si>
  <si>
    <t>НДС</t>
  </si>
  <si>
    <t>Сумма НДС</t>
  </si>
  <si>
    <t>Тариф с учетом НДС</t>
  </si>
  <si>
    <t xml:space="preserve"> Дополнительная зарплата, руб.</t>
  </si>
  <si>
    <t>Начисления на оплату труда, руб.</t>
  </si>
  <si>
    <t>Основная зарплата, руб.</t>
  </si>
  <si>
    <t xml:space="preserve">ПЛАНОВАЯ КАЛЬКУЛЯЦИЯ </t>
  </si>
  <si>
    <r>
      <t>Примечание</t>
    </r>
    <r>
      <rPr>
        <b/>
        <sz val="10"/>
        <rFont val="Times New Roman"/>
        <family val="1"/>
        <charset val="204"/>
      </rPr>
      <t>: в ячейку 5 "E" вставить свой % доп. зарплаты; в ячейку 5 "I" вставить свой % накладных расходов</t>
    </r>
  </si>
  <si>
    <t>1.1.</t>
  </si>
  <si>
    <t>Дератизация систематическая строений (помещений), территории:</t>
  </si>
  <si>
    <t>1.1.1.</t>
  </si>
  <si>
    <t>до 100 квадратных метров</t>
  </si>
  <si>
    <t>Дезинфектор</t>
  </si>
  <si>
    <t>1.1.2.</t>
  </si>
  <si>
    <t>101–600 квадратных метров</t>
  </si>
  <si>
    <t>1.1.3.</t>
  </si>
  <si>
    <t>более 600 квадратных метров</t>
  </si>
  <si>
    <t>Дератизация  систематическая строений (помещений), территории:</t>
  </si>
  <si>
    <t>1.3.</t>
  </si>
  <si>
    <t>Дератизация  разовая строений (помещений), прилегающей территории и других объектов:</t>
  </si>
  <si>
    <t xml:space="preserve"> более 600 квадратных метров</t>
  </si>
  <si>
    <t>1.3.1.</t>
  </si>
  <si>
    <t>1.3.2.</t>
  </si>
  <si>
    <t>1.3.3.</t>
  </si>
  <si>
    <t>1.4.</t>
  </si>
  <si>
    <t>Дератизация разовая отдельных квартир</t>
  </si>
  <si>
    <t>Обработка объекта</t>
  </si>
  <si>
    <t>Обработка объекта (на каждые 100м2)</t>
  </si>
  <si>
    <t>Обработка объекта (на каждые 30 м2)</t>
  </si>
  <si>
    <t>1.5.</t>
  </si>
  <si>
    <t>Дератизация разовая индивидуальных домовладений</t>
  </si>
  <si>
    <t>Приготовление пищевой ядоприманки по заявкам населения</t>
  </si>
  <si>
    <t>Приготовление ядоприманки (на каждые 100 г)</t>
  </si>
  <si>
    <t>Лаборант</t>
  </si>
  <si>
    <t>1.7.</t>
  </si>
  <si>
    <t>по разделу: ДЕРАТИЗАЦИЯ</t>
  </si>
  <si>
    <r>
      <t>на медицинские услуги:</t>
    </r>
    <r>
      <rPr>
        <b/>
        <u/>
        <sz val="12"/>
        <rFont val="Times New Roman"/>
        <family val="1"/>
      </rPr>
      <t xml:space="preserve"> </t>
    </r>
  </si>
  <si>
    <t>2.1.</t>
  </si>
  <si>
    <t>Дезинсекция  систематическая помещений против бытовых насекомых (за исключением мух):</t>
  </si>
  <si>
    <t>2.1.1.</t>
  </si>
  <si>
    <t>по разделу: ДЕЗИНСЕКЦИЯ</t>
  </si>
  <si>
    <t>2.1.2.</t>
  </si>
  <si>
    <t>2.1.3.</t>
  </si>
  <si>
    <t>2.2.</t>
  </si>
  <si>
    <t>Дезинсекция  систематическая помещений против мух:</t>
  </si>
  <si>
    <t>2.2.1.</t>
  </si>
  <si>
    <t>2.2.2.</t>
  </si>
  <si>
    <t>2.2.3.</t>
  </si>
  <si>
    <t>2.4.</t>
  </si>
  <si>
    <t>Дезинсекция  разовая  строений, помещений и других объектов против бытовых насекомых (за исключением мух):</t>
  </si>
  <si>
    <t>2.4.1.</t>
  </si>
  <si>
    <t>2.4.2.</t>
  </si>
  <si>
    <t>2.4.3.</t>
  </si>
  <si>
    <t>2.5.</t>
  </si>
  <si>
    <t>Дезинсекция  разовая  строений, помещений и других объектов против мух:</t>
  </si>
  <si>
    <t>2.5.1.</t>
  </si>
  <si>
    <t>2.5.2.</t>
  </si>
  <si>
    <t>2.5.3.</t>
  </si>
  <si>
    <t>2.6.</t>
  </si>
  <si>
    <t>2.7.</t>
  </si>
  <si>
    <t>2.8.</t>
  </si>
  <si>
    <t>2.9.</t>
  </si>
  <si>
    <t>2.10.</t>
  </si>
  <si>
    <t>2.12.</t>
  </si>
  <si>
    <t>Противопедикулезная разовая обработка помещения</t>
  </si>
  <si>
    <t xml:space="preserve">Главный бухгалтер                  </t>
  </si>
  <si>
    <t>Обработка объекта (на каждые 30м2)</t>
  </si>
  <si>
    <t>Обработка объекта (на каждые 1000м2)</t>
  </si>
  <si>
    <t xml:space="preserve">  </t>
  </si>
  <si>
    <t>3.1.</t>
  </si>
  <si>
    <t>Дезинфекция (профилактическая) систематическая автотранспорта:</t>
  </si>
  <si>
    <t>3.1.1.</t>
  </si>
  <si>
    <t>Легковой автомобиль</t>
  </si>
  <si>
    <t>3.1.2.</t>
  </si>
  <si>
    <t>Микроавтобус</t>
  </si>
  <si>
    <t>3.1.3.</t>
  </si>
  <si>
    <t>Грузовой автомобиль грузопдъемностью до 7.5 тонны</t>
  </si>
  <si>
    <t>3.1.4.</t>
  </si>
  <si>
    <t>Грузовой автомобиль грузопдъемностью более 7.5 тонны</t>
  </si>
  <si>
    <t>3.1.5.</t>
  </si>
  <si>
    <t>3.1.6.</t>
  </si>
  <si>
    <t>Прицеп</t>
  </si>
  <si>
    <t>Полуприцеп</t>
  </si>
  <si>
    <t>3.2.</t>
  </si>
  <si>
    <t>Дезинфекция разовая поверхностей помещений пищевых и непищевых объектов, жилых помещений, подъездов жилых домов:</t>
  </si>
  <si>
    <t>3.2.1.</t>
  </si>
  <si>
    <t>3.2.2.</t>
  </si>
  <si>
    <t>101–200 квадратных метров</t>
  </si>
  <si>
    <t>3.2.3.</t>
  </si>
  <si>
    <t xml:space="preserve"> более 200 квадратных метров</t>
  </si>
  <si>
    <t>3.3.</t>
  </si>
  <si>
    <t>Дезинфекция  разовая  предметов и вещей:</t>
  </si>
  <si>
    <t>3.5.</t>
  </si>
  <si>
    <t>Камерная разовая дезинфекция вещей,белья,постельных принадлежностей паровоздушным способом:</t>
  </si>
  <si>
    <t>3.5.1.</t>
  </si>
  <si>
    <t>Площадь рабочей поверхности камеры 0.9 квадратного метра</t>
  </si>
  <si>
    <t>Обработка  (на каждые 54 кг)</t>
  </si>
  <si>
    <t>3.5.2.</t>
  </si>
  <si>
    <t>Площадь рабочей поверхности камеры 2.6 квадратного метра</t>
  </si>
  <si>
    <t>Обработка  (на каждые 156 кг)</t>
  </si>
  <si>
    <t>3.7.</t>
  </si>
  <si>
    <t>Камерная разовая дезинфекция вещей,белья,постельных принадлежностей, а также профилактическая дезинфекция постельных принадлежностей  паровоздушным способом:</t>
  </si>
  <si>
    <t>3.7.1.</t>
  </si>
  <si>
    <t>3.7.2.</t>
  </si>
  <si>
    <t>3.8.</t>
  </si>
  <si>
    <t xml:space="preserve">Обработка объекта </t>
  </si>
  <si>
    <t>3.9.</t>
  </si>
  <si>
    <t>Дезинфекция разовая колодцев</t>
  </si>
  <si>
    <t>по разделу: ДЕЗИНФЕКЦИЯ (ПРОФИЛАКТИЧЕСКАЯ)</t>
  </si>
  <si>
    <t>Дезинфекция  разовая  предметов и вещей</t>
  </si>
  <si>
    <t>расчета тарифов на платные медицинские услуги по разделу : Дезинсекция</t>
  </si>
  <si>
    <t>расчета тарифов на платные медицинские услуги по разделу : Дератизация</t>
  </si>
  <si>
    <t>на медицинские услуги по разделу : Дератизация , дезинсекция , дезинфекция</t>
  </si>
  <si>
    <t>расчета тарифов на платные медицинские услуги по разделу : Дезинфекция (профилактическая)</t>
  </si>
  <si>
    <t>Дезинфекция разовая неканализованных уборных</t>
  </si>
  <si>
    <t>Дезинсекция  разовая  против  клещей и гнуса на открытых территориях</t>
  </si>
  <si>
    <t>Дезинсекция  разовая  индивидуальных  шкафчиков</t>
  </si>
  <si>
    <t>Дезинсекция  разовая  индивидуальных домовладений</t>
  </si>
  <si>
    <t>Дезинсекция  разовая  отдельных квартир</t>
  </si>
  <si>
    <t>Дезинсекция  разовая  против личинок мух в местах выплода</t>
  </si>
  <si>
    <t xml:space="preserve">                                УТВЕРЖДАЮ</t>
  </si>
  <si>
    <t xml:space="preserve">Плата сторонним организациям за обеспечение противопожарной и сторожевой охраны </t>
  </si>
  <si>
    <t>Главный врач</t>
  </si>
  <si>
    <t>Главный  врач</t>
  </si>
  <si>
    <t>Дезинсекция разовая строений, помещений и других объектов против бытовых насекомых (за исключением мух):</t>
  </si>
  <si>
    <t>Процент накладных расходов (стр.20/стр.21* 100)</t>
  </si>
  <si>
    <t>Налог при упрощенной системе налогообложения</t>
  </si>
  <si>
    <t>об уровне тарифов на платные медицинские услуги в случае их изменения</t>
  </si>
  <si>
    <t>(полное наименование юридического лица или индивидуального предпринимателя, юридический адрес )</t>
  </si>
  <si>
    <t xml:space="preserve">Наименование платной медицинской услуги </t>
  </si>
  <si>
    <t>Тариф, в руб.</t>
  </si>
  <si>
    <t>утвержденный</t>
  </si>
  <si>
    <t>без учета НДС</t>
  </si>
  <si>
    <t>с учетом НДС</t>
  </si>
  <si>
    <t>1.</t>
  </si>
  <si>
    <t>Дератизация</t>
  </si>
  <si>
    <t>Дератизация систематическая  строений (помещений), территории:</t>
  </si>
  <si>
    <t>обработка объекта</t>
  </si>
  <si>
    <t>2.</t>
  </si>
  <si>
    <t>101 - 600 квадратных  метров</t>
  </si>
  <si>
    <t>обработка объекта (каждые 100  кв.м)</t>
  </si>
  <si>
    <t>3.</t>
  </si>
  <si>
    <t>более 600 квадратных  метров</t>
  </si>
  <si>
    <t>обработка объекта (каждые 100 кв.м)</t>
  </si>
  <si>
    <t>Дератизация систематическая  грузовых самолетов</t>
  </si>
  <si>
    <t>Дератизация разовая строений (помещений), прилегающей территориии других объектов:</t>
  </si>
  <si>
    <t>4.</t>
  </si>
  <si>
    <t>обработка объекта (каждые 30 кв.м)</t>
  </si>
  <si>
    <t>5.</t>
  </si>
  <si>
    <t>6.</t>
  </si>
  <si>
    <t>Дератизация разовая водного транспорта</t>
  </si>
  <si>
    <t>7.</t>
  </si>
  <si>
    <t xml:space="preserve">приготовление ядоприманки  (каждые 100 г) </t>
  </si>
  <si>
    <t>Дезинсекция</t>
  </si>
  <si>
    <t>Дезинсекция систематическая  помещений против бытовых насекомых (за исключением мух):</t>
  </si>
  <si>
    <t>Дезинсекция систематическая  помещений против мух:</t>
  </si>
  <si>
    <t>Дезинсекция систематическая  грузовых самолетов</t>
  </si>
  <si>
    <t>Дезинсекция разовая строений, помещений и других объектов против мух:</t>
  </si>
  <si>
    <t>Дезинсекция разовая отдельных квартир</t>
  </si>
  <si>
    <t>Дезинсекция разовая индивидуальных домовладений</t>
  </si>
  <si>
    <t>8.</t>
  </si>
  <si>
    <t>Дезинсекция разовая индивидуальных шкафчиков</t>
  </si>
  <si>
    <t>9.</t>
  </si>
  <si>
    <t>Дезинсекция разовая против личинок мух в  местах выплода</t>
  </si>
  <si>
    <t>10.</t>
  </si>
  <si>
    <t>Дезинсекция разовая против клещей и гнуса на открытых территориях</t>
  </si>
  <si>
    <t>обработка объекта (каждые 1000 кв.м)</t>
  </si>
  <si>
    <t>11.</t>
  </si>
  <si>
    <t>Дезинсекция разовая против личинок комаров в открытых водоемах</t>
  </si>
  <si>
    <t>12.</t>
  </si>
  <si>
    <t>13.</t>
  </si>
  <si>
    <t>Санитарная разовая обработка людей, пораженных  педикулезом:</t>
  </si>
  <si>
    <t>санация лиц,пораженных  педикулезом,механическим способом</t>
  </si>
  <si>
    <t>обработка одного  человека</t>
  </si>
  <si>
    <t>санация лиц,пораженных  педикулезом,химическим способом</t>
  </si>
  <si>
    <t>Дезинфекция (профилактическая)</t>
  </si>
  <si>
    <t xml:space="preserve">Дезинфекция (профилактическая) систематическая  автотранспорта: </t>
  </si>
  <si>
    <t>легковой автомобиль</t>
  </si>
  <si>
    <t>микроавтобус</t>
  </si>
  <si>
    <t>грузовой автомобиль грузоподъемностью до  7,5 тонны</t>
  </si>
  <si>
    <t xml:space="preserve">грузовой автомобиль грузоподъемностью более 7,5 тонны </t>
  </si>
  <si>
    <t>прицеп</t>
  </si>
  <si>
    <t xml:space="preserve">полуприцеп </t>
  </si>
  <si>
    <t>Дезинфекция разовая поверхностей помещений пищевых и непищевых объектов; жилых  помещений, подъездов  жилых домов:</t>
  </si>
  <si>
    <t>101 - 200 квадратных  метров</t>
  </si>
  <si>
    <t xml:space="preserve">более 200 метров квадратных </t>
  </si>
  <si>
    <t>Дезинфекция разовая предметов и вещей</t>
  </si>
  <si>
    <t>Дезинфекция разоваябелья и одежды,  совмещенная со стиркой</t>
  </si>
  <si>
    <t xml:space="preserve">обработка (каждые 10 кг) </t>
  </si>
  <si>
    <t>Камерная разовая дезинфекция вещей, белья, постельных принадлежностей  паровоздушным способом:</t>
  </si>
  <si>
    <t>площадь рабочей  поверхности камеры 0,9 квадратного метра</t>
  </si>
  <si>
    <t xml:space="preserve">обработка (каждые 54 кг) </t>
  </si>
  <si>
    <t>площадь рабочей  поверхности камеры 2,6 квадратного метра</t>
  </si>
  <si>
    <t>обработка (каждые 156 кг)</t>
  </si>
  <si>
    <t>Камерная разовая дезинфекция вещей, белья, постельных принадлежностей  пароформалиновым способом:</t>
  </si>
  <si>
    <t>Камерная разовая дезинсекция вещей, белья, постельных принадлежностей, а также профилактическая дезинфекция постельных принадлежностей  паровоздушным способом:</t>
  </si>
  <si>
    <t xml:space="preserve">Дезинфекция разовая питьевых емкостей на  объектах водного транспорта </t>
  </si>
  <si>
    <t>Примечание: В тарифах  не  учтена  стоимость  лекарственных  средств изделий  медицинского  назначения и других материалов, которые оплачиваются заказчиком дополнительно.</t>
  </si>
  <si>
    <t>Руководитель организации (индивидуальный предприниматель)</t>
  </si>
  <si>
    <t>(подпись)</t>
  </si>
  <si>
    <t xml:space="preserve"> (И.О.Фамилия)</t>
  </si>
  <si>
    <t>М.П.</t>
  </si>
  <si>
    <t>Н.С. Козак</t>
  </si>
  <si>
    <t>ГУ "Кобринский зональный центр гигиены и эпидемиологии"</t>
  </si>
  <si>
    <t>С.М.Асташевич</t>
  </si>
  <si>
    <t>Главный бухгалтер                                           Н.С. Козак</t>
  </si>
  <si>
    <t>ГУ "Кобринский зональный центр гигиены и эпидемиологии "</t>
  </si>
  <si>
    <t>ГУ "Кобринсий зональный центр гигиены и эпидемиологии"</t>
  </si>
  <si>
    <t>________________________  С.М. Асташевич</t>
  </si>
  <si>
    <t>Главный бухгалтер                                                   Н.С. Козак</t>
  </si>
  <si>
    <t>Главный бухгалтер                                                        Н.С. Козак</t>
  </si>
  <si>
    <t>2.3</t>
  </si>
  <si>
    <t>ФИО</t>
  </si>
  <si>
    <t>ФЗП</t>
  </si>
  <si>
    <t>бухгалтер</t>
  </si>
  <si>
    <t xml:space="preserve">Сатвалдыева Н.И. </t>
  </si>
  <si>
    <t>кассир</t>
  </si>
  <si>
    <t>Покалюк В.Л.</t>
  </si>
  <si>
    <t>санитарка</t>
  </si>
  <si>
    <t xml:space="preserve">Огородник Т.М. </t>
  </si>
  <si>
    <t>кладовщик</t>
  </si>
  <si>
    <t xml:space="preserve">Конторук В.Ф </t>
  </si>
  <si>
    <t>водитель</t>
  </si>
  <si>
    <t>ИТОГО:</t>
  </si>
  <si>
    <t xml:space="preserve">Приложение </t>
  </si>
  <si>
    <t xml:space="preserve">Куришко Т.С. </t>
  </si>
  <si>
    <t>Зав. проф дез отд пом.вр эпид</t>
  </si>
  <si>
    <t xml:space="preserve">Мосейчук Ф.Н. </t>
  </si>
  <si>
    <t>инструктор дезинфектор</t>
  </si>
  <si>
    <t>Самусева О.М.</t>
  </si>
  <si>
    <t>Слабина Т.И.</t>
  </si>
  <si>
    <t xml:space="preserve">Довжук Н.М. </t>
  </si>
  <si>
    <t>Радик Е.И.</t>
  </si>
  <si>
    <t xml:space="preserve">Минчук З.И. </t>
  </si>
  <si>
    <t xml:space="preserve">Дрык Е.М. </t>
  </si>
  <si>
    <t xml:space="preserve">Турутько Е.В. </t>
  </si>
  <si>
    <t xml:space="preserve">Коляда Л.А. </t>
  </si>
  <si>
    <t xml:space="preserve">Богуш Н.Л. </t>
  </si>
  <si>
    <t xml:space="preserve">Шидловская А.Е. </t>
  </si>
  <si>
    <t>Драгун А.А.</t>
  </si>
  <si>
    <t>Итого:</t>
  </si>
  <si>
    <t>Основная оплата труда (фзп+пр+напр)</t>
  </si>
  <si>
    <t>Дополнительная оплата труда (оплата за неотработанное время, трудовых и дополнительных отпусков, оплата льготных часов подростков, оплата перерывов в работе кормящих матерей, оплата времени, связанного с прохождением медицинских осмотров, выполнением государственных обязанностей, единовременные вознаграждения за выслугу лет (стаж работы) и другие выплаты, предусмотренные законодательством) (отпуск)</t>
  </si>
  <si>
    <t>медицинский дезинфектор</t>
  </si>
  <si>
    <t>Заработная плата управленческого и вспомагательного персонала (фзп+премия + напряженность)</t>
  </si>
  <si>
    <t>отчисления в Фонд социальной защиты населения Министерства труда и социальной защиты Республики Беларусь  (34%)</t>
  </si>
  <si>
    <t>платеж на профессиональное пенсионное страхование в Фонд соцзащиты населения (1.5%)</t>
  </si>
  <si>
    <t>Основная заработная плата за соответствующий период(ФЗП+ПР+НАПР)</t>
  </si>
  <si>
    <t>Приобретение канцелярских принадлежностей, материалов и предметов для текущих и хозяйственных нужд(ст10.03.05.)</t>
  </si>
  <si>
    <t>Плата за кредиты и услуги банка (ст 10.10.08 )</t>
  </si>
  <si>
    <t>за потребление газа (10.07.02.)</t>
  </si>
  <si>
    <t>за потребление электрической энергии (10.07.03)</t>
  </si>
  <si>
    <t>Оплата спецпитания (10.03.04.)</t>
  </si>
  <si>
    <t>Командировочные расходы (10.04.00)</t>
  </si>
  <si>
    <t>Транспортные расходы (10.05.00.)</t>
  </si>
  <si>
    <t>Прочие расходы (10.10.02.)</t>
  </si>
  <si>
    <t>прочие коммунальные расходы (10.07.04.вода)</t>
  </si>
  <si>
    <t>Аренда зданий, сооружений, оборудования (10.07.04)</t>
  </si>
  <si>
    <t>Симакова Н.В.</t>
  </si>
  <si>
    <t>февраль</t>
  </si>
  <si>
    <t xml:space="preserve">премия </t>
  </si>
  <si>
    <t>отпуск</t>
  </si>
  <si>
    <t>напр-ть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</si>
  <si>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</si>
  <si>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</si>
  <si>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</si>
  <si>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</si>
  <si>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</si>
  <si>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</si>
  <si>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</si>
  <si>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</si>
  <si>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</si>
  <si>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</si>
  <si>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>к-во ставок</t>
  </si>
  <si>
    <t>Должность</t>
  </si>
  <si>
    <t>Кулик Н.В.</t>
  </si>
  <si>
    <t xml:space="preserve">Белова Д.Е. </t>
  </si>
  <si>
    <t>№1</t>
  </si>
  <si>
    <t xml:space="preserve"> Наименование платной медицинской услуги</t>
  </si>
  <si>
    <t>Единица измере-ния</t>
  </si>
  <si>
    <t>№</t>
  </si>
  <si>
    <t xml:space="preserve">Единица измерения </t>
  </si>
  <si>
    <t>Наименование используемых материалов</t>
  </si>
  <si>
    <t>Норма расхода материалов</t>
  </si>
  <si>
    <t>мл</t>
  </si>
  <si>
    <t>Сандим-Д</t>
  </si>
  <si>
    <t>ГУ "Кобринский ЗЦГиЭ"</t>
  </si>
  <si>
    <t>_________С.М. Асташевич</t>
  </si>
  <si>
    <t>Нормы расхода материалов</t>
  </si>
  <si>
    <t>(лекарственных средств изделий медицинского назначения и других материалов раздел 3. "Дезинфекция (профилактическая)систематическая автотранспорта"</t>
  </si>
  <si>
    <t>Разрешаются к использованию других инсектицидные и ротентицидные средства, прошедшие государственную гигиеническую регистрацию, согласно настоящим нормам в соответствии с методическими указаниями (инструкциями) по их применению, согласно Постановления № 3 от 10.01.2008г. «Об утверждении единых норм и нормативов материальных и трудовых затрат (времени, расхода основных  и вспомогательных материалов) на платные медицинские услуги по дератизации, дезинсекции, дезинфекции, оказываемые юридическими лицами всех форм собственности и индивидуальными предпринимателями в установленном порядке.</t>
  </si>
  <si>
    <t>Заместитель главного врача</t>
  </si>
  <si>
    <t>В.В. Рапинчук</t>
  </si>
  <si>
    <t>ГУ"Кобринский ЗЦГиЭ"</t>
  </si>
  <si>
    <t>Экономист:</t>
  </si>
  <si>
    <t>ТАРИФЫ</t>
  </si>
  <si>
    <t>Приложение 1</t>
  </si>
  <si>
    <t>на платные медицинские услуги по дератизации, дезинсекции и дезинфекции оказываемые</t>
  </si>
  <si>
    <t>ГУ "Кобринский зональный центр гигиены и эпидемиологии"                                            г. Кобрин, пл. Свободы,8; тел.8(01642)2-38-63</t>
  </si>
  <si>
    <t xml:space="preserve">Жарова И.А. </t>
  </si>
  <si>
    <t>напряженно-сть</t>
  </si>
  <si>
    <t>Прочие расходные материалы и предметы снабжения(10.03.02.;10.03.03.)</t>
  </si>
  <si>
    <t>делопроизводитель/оператор ЭВМ</t>
  </si>
  <si>
    <t xml:space="preserve"> С.М.Асташевич</t>
  </si>
  <si>
    <t xml:space="preserve"> Н.С. Козак</t>
  </si>
  <si>
    <r>
      <t xml:space="preserve">премия </t>
    </r>
    <r>
      <rPr>
        <sz val="10"/>
        <color rgb="FFFF0000"/>
        <rFont val="Arial"/>
        <family val="2"/>
        <charset val="204"/>
      </rPr>
      <t>(58)</t>
    </r>
  </si>
  <si>
    <r>
      <t>отпуск</t>
    </r>
    <r>
      <rPr>
        <sz val="10"/>
        <color rgb="FFFF0000"/>
        <rFont val="Arial"/>
        <family val="2"/>
        <charset val="204"/>
      </rPr>
      <t xml:space="preserve"> (106)</t>
    </r>
  </si>
  <si>
    <r>
      <t>напр-ть</t>
    </r>
    <r>
      <rPr>
        <sz val="10"/>
        <color rgb="FFFF0000"/>
        <rFont val="Arial"/>
        <family val="2"/>
        <charset val="204"/>
      </rPr>
      <t xml:space="preserve"> (49)</t>
    </r>
  </si>
  <si>
    <t>Сумма ( руб.)</t>
  </si>
  <si>
    <t>за квалификационную категорию  15%</t>
  </si>
  <si>
    <t>ПРЕЙСКУРАНТ №1</t>
  </si>
  <si>
    <t xml:space="preserve"> за январь-декабрь 15г. </t>
  </si>
  <si>
    <t>январь- декабрь 2015г.</t>
  </si>
  <si>
    <t>Основная заработная плата за  2015г.</t>
  </si>
  <si>
    <t>Расчет дополнительного фонда оплаты труда за  2015 год  по                         ГУ "Кобринский ЗЦГиЭ"</t>
  </si>
  <si>
    <t>страховой взнос по обязательному страхованию от несчастных случаев на производстве и профессиональных заболеваний (0.08%)</t>
  </si>
  <si>
    <t>"____" _________________2016г.</t>
  </si>
  <si>
    <t>фонд раб врем на 2016г.</t>
  </si>
  <si>
    <t>тар.окл</t>
  </si>
  <si>
    <t>вредность</t>
  </si>
  <si>
    <t>повышение 40%</t>
  </si>
  <si>
    <t>тарифная ставка 1 разр.</t>
  </si>
  <si>
    <t>стаж от 10-до 15 лет  20%</t>
  </si>
  <si>
    <t>Итого д/о</t>
  </si>
  <si>
    <t xml:space="preserve">Лаборант </t>
  </si>
  <si>
    <t xml:space="preserve">выплаты стимулирующего и компенсирующего характера в соответствии с законодательсвом </t>
  </si>
  <si>
    <t>"______" _________________ 2016 год</t>
  </si>
  <si>
    <t>_________________  2016г.</t>
  </si>
  <si>
    <t>Страховой взнос по обязательному страхованию от несчастных случаев на производстве и профессиональных заболеваний 0.08%</t>
  </si>
  <si>
    <t>Отчисления в Фонд социальной защиты населения Минтруда и соцзащиты РБ 34%</t>
  </si>
  <si>
    <r>
      <t>ФЗП</t>
    </r>
    <r>
      <rPr>
        <sz val="10"/>
        <color rgb="FFFF0000"/>
        <rFont val="Arial"/>
        <family val="2"/>
        <charset val="204"/>
      </rPr>
      <t>(1.35.54.109.110.260.261.114.8.33.)</t>
    </r>
  </si>
  <si>
    <t>Допл по контр по 29 П 1%</t>
  </si>
  <si>
    <t>должностной оклад (с учетом повышения по контракту по 29П )</t>
  </si>
  <si>
    <t xml:space="preserve"> Прейскурант №   1  </t>
  </si>
  <si>
    <t>процента накладных расходов на 2016 год по ГУ "Кобринский ЗЦГиЭ"</t>
  </si>
  <si>
    <t>Заработная плата управленческого и вспомогательного персонала за 2016г.</t>
  </si>
  <si>
    <t>к приказу №_______</t>
  </si>
  <si>
    <t>от ___________</t>
  </si>
  <si>
    <t>Заведующеий отделом профилактической дезинфекции</t>
  </si>
  <si>
    <t>Т.С.Куришко</t>
  </si>
  <si>
    <t>Тариф за материалы руб.,/ коп.</t>
  </si>
  <si>
    <t>на оказываемые медицинские услуги по дезинфекции (профилактической) автотранспорта</t>
  </si>
  <si>
    <t>Тариф за услугу с ндс без стоимости материалов руб./коп.</t>
  </si>
  <si>
    <t>Стоимость с учетом округления, руб./коп.</t>
  </si>
  <si>
    <t>Тариф за услугу без НДС</t>
  </si>
  <si>
    <t>Н.С.Козак</t>
  </si>
  <si>
    <t>утвержденный на 01.02.2017</t>
  </si>
  <si>
    <t>утвержденный на 01.07.2017г.</t>
  </si>
  <si>
    <t>А.И.Лешкевич</t>
  </si>
  <si>
    <t xml:space="preserve">   Государственное учреждение "Кобринский зональный центр гигиены и эпидемиологии"</t>
  </si>
  <si>
    <t>Примечание: В тарифах  не  учтена  стоимость  лекарственных  средств изделий  медицинского  назначения                    и других материалов, которые оплачиваются заказчиком дополнительно.</t>
  </si>
  <si>
    <t xml:space="preserve">                                                                                                                           Приложение 1 к приказу №       от    .    .           </t>
  </si>
  <si>
    <t>____________ 2018г.</t>
  </si>
  <si>
    <t>И.о.Главного врача</t>
  </si>
  <si>
    <t>В.В.Рапинчук</t>
  </si>
  <si>
    <t>на 01.06.2018г.</t>
  </si>
  <si>
    <t xml:space="preserve">                                                                                                                                               </t>
  </si>
  <si>
    <t>___________В.В.Рапинчук</t>
  </si>
</sst>
</file>

<file path=xl/styles.xml><?xml version="1.0" encoding="utf-8"?>
<styleSheet xmlns="http://schemas.openxmlformats.org/spreadsheetml/2006/main">
  <numFmts count="7">
    <numFmt numFmtId="164" formatCode="_(* #,##0.00_);_(* \(#,##0.00\);_(* &quot;-&quot;??_);_(@_)"/>
    <numFmt numFmtId="165" formatCode="0.000"/>
    <numFmt numFmtId="166" formatCode="0.0"/>
    <numFmt numFmtId="167" formatCode="#,##0.0"/>
    <numFmt numFmtId="168" formatCode="0.0%"/>
    <numFmt numFmtId="169" formatCode="_(* #,##0_);_(* \(#,##0\);_(* &quot;-&quot;??_);_(@_)"/>
    <numFmt numFmtId="170" formatCode="0.0000000"/>
  </numFmts>
  <fonts count="50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0"/>
      <color indexed="9"/>
      <name val="Arial"/>
      <family val="2"/>
      <charset val="204"/>
    </font>
    <font>
      <b/>
      <sz val="10"/>
      <name val="Times New Roman"/>
      <family val="1"/>
      <charset val="204"/>
    </font>
    <font>
      <b/>
      <u/>
      <sz val="12"/>
      <color indexed="10"/>
      <name val="Times New Roman"/>
      <family val="1"/>
      <charset val="204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9"/>
      <name val="Times New Roman"/>
      <family val="1"/>
    </font>
    <font>
      <b/>
      <sz val="11"/>
      <name val="Arial"/>
      <family val="2"/>
    </font>
    <font>
      <u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indexed="12"/>
      <name val="Arial Cyr"/>
      <charset val="204"/>
    </font>
    <font>
      <sz val="12"/>
      <color indexed="10"/>
      <name val="Arial Cyr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8"/>
      <name val="Arial Cyr"/>
      <charset val="204"/>
    </font>
    <font>
      <sz val="16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7" fillId="0" borderId="0"/>
    <xf numFmtId="164" fontId="1" fillId="0" borderId="0" applyFont="0" applyFill="0" applyBorder="0" applyAlignment="0" applyProtection="0"/>
  </cellStyleXfs>
  <cellXfs count="412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3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7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/>
    <xf numFmtId="0" fontId="2" fillId="2" borderId="0" xfId="0" applyFont="1" applyFill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67" fontId="2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5" fillId="0" borderId="0" xfId="0" applyFont="1"/>
    <xf numFmtId="0" fontId="2" fillId="0" borderId="1" xfId="0" applyFont="1" applyBorder="1" applyAlignment="1">
      <alignment horizontal="center" vertical="top"/>
    </xf>
    <xf numFmtId="0" fontId="5" fillId="3" borderId="1" xfId="0" applyFont="1" applyFill="1" applyBorder="1" applyAlignment="1">
      <alignment vertical="center" wrapText="1"/>
    </xf>
    <xf numFmtId="167" fontId="0" fillId="0" borderId="1" xfId="0" applyNumberFormat="1" applyBorder="1"/>
    <xf numFmtId="3" fontId="0" fillId="0" borderId="1" xfId="0" applyNumberFormat="1" applyBorder="1"/>
    <xf numFmtId="0" fontId="5" fillId="0" borderId="1" xfId="0" applyFont="1" applyBorder="1" applyAlignment="1"/>
    <xf numFmtId="0" fontId="5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5" fillId="3" borderId="4" xfId="0" applyFont="1" applyFill="1" applyBorder="1" applyAlignment="1">
      <alignment vertical="center" wrapText="1"/>
    </xf>
    <xf numFmtId="0" fontId="5" fillId="0" borderId="2" xfId="0" applyFont="1" applyBorder="1" applyAlignment="1">
      <alignment wrapText="1"/>
    </xf>
    <xf numFmtId="167" fontId="0" fillId="0" borderId="2" xfId="0" applyNumberFormat="1" applyBorder="1"/>
    <xf numFmtId="3" fontId="0" fillId="0" borderId="2" xfId="0" applyNumberFormat="1" applyBorder="1"/>
    <xf numFmtId="167" fontId="0" fillId="0" borderId="5" xfId="0" applyNumberFormat="1" applyBorder="1"/>
    <xf numFmtId="3" fontId="0" fillId="0" borderId="5" xfId="0" applyNumberFormat="1" applyBorder="1"/>
    <xf numFmtId="167" fontId="0" fillId="0" borderId="4" xfId="0" applyNumberFormat="1" applyBorder="1"/>
    <xf numFmtId="3" fontId="0" fillId="0" borderId="4" xfId="0" applyNumberFormat="1" applyBorder="1"/>
    <xf numFmtId="9" fontId="9" fillId="0" borderId="2" xfId="0" applyNumberFormat="1" applyFont="1" applyBorder="1" applyAlignment="1">
      <alignment horizontal="center" vertical="center" textRotation="90" wrapText="1"/>
    </xf>
    <xf numFmtId="168" fontId="9" fillId="0" borderId="2" xfId="0" applyNumberFormat="1" applyFont="1" applyBorder="1" applyAlignment="1">
      <alignment horizontal="center" vertical="center" textRotation="90" wrapText="1"/>
    </xf>
    <xf numFmtId="167" fontId="0" fillId="0" borderId="6" xfId="0" applyNumberFormat="1" applyBorder="1"/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167" fontId="0" fillId="0" borderId="0" xfId="0" applyNumberFormat="1" applyBorder="1"/>
    <xf numFmtId="3" fontId="0" fillId="0" borderId="0" xfId="0" applyNumberFormat="1" applyBorder="1"/>
    <xf numFmtId="0" fontId="11" fillId="0" borderId="0" xfId="0" applyFont="1"/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5" fillId="0" borderId="0" xfId="0" applyFont="1"/>
    <xf numFmtId="0" fontId="16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49" fontId="15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7" xfId="0" applyFont="1" applyBorder="1" applyAlignment="1">
      <alignment vertical="top" wrapText="1"/>
    </xf>
    <xf numFmtId="0" fontId="2" fillId="0" borderId="8" xfId="0" applyFont="1" applyBorder="1" applyAlignment="1">
      <alignment horizontal="center"/>
    </xf>
    <xf numFmtId="0" fontId="15" fillId="0" borderId="1" xfId="0" applyFont="1" applyBorder="1" applyAlignment="1">
      <alignment vertical="top" wrapText="1"/>
    </xf>
    <xf numFmtId="0" fontId="14" fillId="0" borderId="1" xfId="0" applyFont="1" applyBorder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49" fontId="19" fillId="0" borderId="1" xfId="0" applyNumberFormat="1" applyFont="1" applyBorder="1" applyAlignment="1">
      <alignment horizontal="center" vertical="center"/>
    </xf>
    <xf numFmtId="0" fontId="10" fillId="0" borderId="0" xfId="0" applyFont="1" applyBorder="1"/>
    <xf numFmtId="0" fontId="17" fillId="0" borderId="9" xfId="0" applyFont="1" applyBorder="1" applyAlignment="1">
      <alignment vertical="top" wrapText="1"/>
    </xf>
    <xf numFmtId="0" fontId="10" fillId="0" borderId="0" xfId="0" applyFont="1"/>
    <xf numFmtId="0" fontId="9" fillId="0" borderId="1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7" fillId="0" borderId="9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167" fontId="2" fillId="2" borderId="0" xfId="0" applyNumberFormat="1" applyFont="1" applyFill="1" applyAlignment="1">
      <alignment horizontal="center"/>
    </xf>
    <xf numFmtId="0" fontId="2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19" fillId="0" borderId="0" xfId="0" applyFont="1"/>
    <xf numFmtId="0" fontId="19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9" fontId="9" fillId="0" borderId="1" xfId="0" applyNumberFormat="1" applyFont="1" applyBorder="1" applyAlignment="1">
      <alignment horizontal="center" vertical="center" textRotation="90" wrapText="1"/>
    </xf>
    <xf numFmtId="168" fontId="9" fillId="0" borderId="1" xfId="0" applyNumberFormat="1" applyFont="1" applyBorder="1" applyAlignment="1">
      <alignment horizontal="center" vertical="center" textRotation="90" wrapText="1"/>
    </xf>
    <xf numFmtId="0" fontId="19" fillId="0" borderId="0" xfId="0" applyFont="1" applyBorder="1"/>
    <xf numFmtId="49" fontId="15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0" fillId="0" borderId="6" xfId="0" applyNumberFormat="1" applyBorder="1"/>
    <xf numFmtId="0" fontId="26" fillId="0" borderId="9" xfId="0" applyFont="1" applyBorder="1" applyAlignment="1">
      <alignment vertical="top" wrapText="1"/>
    </xf>
    <xf numFmtId="0" fontId="0" fillId="2" borderId="0" xfId="0" applyFill="1"/>
    <xf numFmtId="166" fontId="2" fillId="2" borderId="0" xfId="0" applyNumberFormat="1" applyFont="1" applyFill="1"/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9" fillId="4" borderId="0" xfId="1" applyFont="1" applyFill="1" applyProtection="1">
      <protection locked="0"/>
    </xf>
    <xf numFmtId="0" fontId="2" fillId="0" borderId="0" xfId="1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12" xfId="1" applyFont="1" applyFill="1" applyBorder="1" applyAlignment="1" applyProtection="1">
      <alignment horizontal="center" vertical="center"/>
      <protection locked="0"/>
    </xf>
    <xf numFmtId="0" fontId="29" fillId="4" borderId="0" xfId="1" applyFont="1" applyFill="1" applyAlignment="1" applyProtection="1">
      <alignment horizontal="center" vertical="center"/>
      <protection locked="0"/>
    </xf>
    <xf numFmtId="1" fontId="2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1" applyFont="1" applyFill="1" applyBorder="1" applyAlignment="1" applyProtection="1">
      <alignment horizontal="center" vertical="top" wrapText="1"/>
      <protection locked="0"/>
    </xf>
    <xf numFmtId="1" fontId="2" fillId="0" borderId="15" xfId="1" applyNumberFormat="1" applyFont="1" applyFill="1" applyBorder="1" applyAlignment="1" applyProtection="1">
      <alignment horizontal="center" vertical="top" wrapText="1"/>
      <protection locked="0"/>
    </xf>
    <xf numFmtId="1" fontId="2" fillId="0" borderId="16" xfId="1" applyNumberFormat="1" applyFont="1" applyFill="1" applyBorder="1" applyAlignment="1" applyProtection="1">
      <alignment horizontal="center" vertical="top" wrapText="1"/>
      <protection locked="0"/>
    </xf>
    <xf numFmtId="1" fontId="2" fillId="0" borderId="0" xfId="1" applyNumberFormat="1" applyFont="1" applyFill="1" applyBorder="1" applyAlignment="1" applyProtection="1">
      <alignment horizontal="center" vertical="top" wrapText="1"/>
      <protection locked="0"/>
    </xf>
    <xf numFmtId="0" fontId="2" fillId="0" borderId="0" xfId="1" applyFont="1" applyFill="1" applyBorder="1" applyAlignment="1" applyProtection="1">
      <alignment horizontal="center" vertical="top" wrapText="1"/>
      <protection locked="0"/>
    </xf>
    <xf numFmtId="0" fontId="2" fillId="0" borderId="0" xfId="1" applyFont="1" applyFill="1" applyAlignment="1" applyProtection="1">
      <alignment horizontal="left" vertical="justify"/>
      <protection locked="0"/>
    </xf>
    <xf numFmtId="0" fontId="29" fillId="0" borderId="0" xfId="1" applyFont="1" applyFill="1" applyAlignment="1" applyProtection="1">
      <alignment horizontal="left" vertical="justify"/>
      <protection locked="0"/>
    </xf>
    <xf numFmtId="0" fontId="2" fillId="0" borderId="0" xfId="1" applyFont="1" applyFill="1" applyBorder="1" applyAlignment="1" applyProtection="1">
      <alignment vertical="justify" wrapText="1"/>
      <protection locked="0"/>
    </xf>
    <xf numFmtId="0" fontId="2" fillId="0" borderId="0" xfId="1" applyFont="1" applyFill="1" applyBorder="1" applyAlignment="1" applyProtection="1">
      <alignment horizontal="center" vertical="justify" wrapText="1"/>
      <protection locked="0"/>
    </xf>
    <xf numFmtId="0" fontId="2" fillId="0" borderId="0" xfId="1" applyFont="1" applyFill="1" applyAlignment="1" applyProtection="1">
      <alignment horizontal="left" vertical="center"/>
      <protection locked="0"/>
    </xf>
    <xf numFmtId="0" fontId="29" fillId="0" borderId="0" xfId="1" applyFont="1" applyFill="1" applyAlignment="1" applyProtection="1">
      <alignment horizontal="left" vertical="center"/>
      <protection locked="0"/>
    </xf>
    <xf numFmtId="1" fontId="2" fillId="0" borderId="0" xfId="1" applyNumberFormat="1" applyFont="1" applyFill="1" applyAlignment="1" applyProtection="1">
      <alignment vertical="center"/>
      <protection locked="0"/>
    </xf>
    <xf numFmtId="0" fontId="2" fillId="0" borderId="0" xfId="1" applyFont="1" applyFill="1" applyAlignment="1" applyProtection="1">
      <alignment vertical="center" wrapText="1"/>
      <protection locked="0"/>
    </xf>
    <xf numFmtId="49" fontId="2" fillId="0" borderId="0" xfId="1" applyNumberFormat="1" applyFont="1" applyFill="1" applyAlignment="1" applyProtection="1">
      <alignment horizontal="center" vertical="center" wrapText="1"/>
      <protection locked="0"/>
    </xf>
    <xf numFmtId="1" fontId="2" fillId="0" borderId="0" xfId="1" applyNumberFormat="1" applyFont="1" applyFill="1" applyAlignment="1" applyProtection="1">
      <alignment horizontal="center" vertical="center" wrapText="1"/>
      <protection locked="0"/>
    </xf>
    <xf numFmtId="0" fontId="2" fillId="0" borderId="0" xfId="1" applyFont="1" applyFill="1" applyAlignment="1" applyProtection="1">
      <alignment horizontal="left" vertical="center" wrapText="1"/>
      <protection locked="0"/>
    </xf>
    <xf numFmtId="0" fontId="2" fillId="0" borderId="0" xfId="1" applyFont="1" applyFill="1" applyAlignment="1" applyProtection="1">
      <alignment horizontal="center" vertical="center" wrapText="1"/>
      <protection locked="0"/>
    </xf>
    <xf numFmtId="1" fontId="3" fillId="0" borderId="3" xfId="1" applyNumberFormat="1" applyFont="1" applyFill="1" applyBorder="1" applyAlignment="1" applyProtection="1">
      <alignment horizontal="left" vertical="center" wrapText="1"/>
      <protection locked="0"/>
    </xf>
    <xf numFmtId="1" fontId="3" fillId="0" borderId="0" xfId="1" applyNumberFormat="1" applyFont="1" applyFill="1" applyBorder="1" applyAlignment="1" applyProtection="1">
      <alignment horizontal="left" vertical="center" wrapText="1"/>
      <protection locked="0"/>
    </xf>
    <xf numFmtId="0" fontId="27" fillId="0" borderId="0" xfId="1"/>
    <xf numFmtId="0" fontId="10" fillId="4" borderId="0" xfId="1" applyFont="1" applyFill="1" applyAlignment="1" applyProtection="1">
      <alignment horizontal="left" vertical="center"/>
      <protection locked="0"/>
    </xf>
    <xf numFmtId="0" fontId="10" fillId="4" borderId="0" xfId="1" applyFont="1" applyFill="1" applyProtection="1">
      <protection locked="0"/>
    </xf>
    <xf numFmtId="0" fontId="29" fillId="4" borderId="0" xfId="1" applyFont="1" applyFill="1" applyAlignment="1" applyProtection="1">
      <alignment horizontal="center"/>
      <protection locked="0"/>
    </xf>
    <xf numFmtId="1" fontId="29" fillId="4" borderId="0" xfId="1" applyNumberFormat="1" applyFont="1" applyFill="1" applyAlignment="1" applyProtection="1">
      <alignment horizontal="center"/>
      <protection locked="0"/>
    </xf>
    <xf numFmtId="0" fontId="2" fillId="2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/>
    <xf numFmtId="0" fontId="23" fillId="2" borderId="0" xfId="0" applyFont="1" applyFill="1" applyAlignment="1">
      <alignment vertical="top"/>
    </xf>
    <xf numFmtId="0" fontId="10" fillId="2" borderId="0" xfId="0" applyFont="1" applyFill="1" applyAlignment="1">
      <alignment vertical="top" wrapText="1"/>
    </xf>
    <xf numFmtId="167" fontId="2" fillId="0" borderId="1" xfId="0" applyNumberFormat="1" applyFont="1" applyFill="1" applyBorder="1"/>
    <xf numFmtId="167" fontId="2" fillId="2" borderId="0" xfId="0" applyNumberFormat="1" applyFont="1" applyFill="1" applyBorder="1"/>
    <xf numFmtId="167" fontId="2" fillId="5" borderId="1" xfId="0" applyNumberFormat="1" applyFont="1" applyFill="1" applyBorder="1"/>
    <xf numFmtId="0" fontId="31" fillId="0" borderId="0" xfId="0" applyFont="1"/>
    <xf numFmtId="0" fontId="31" fillId="0" borderId="1" xfId="0" applyFont="1" applyBorder="1"/>
    <xf numFmtId="166" fontId="0" fillId="0" borderId="1" xfId="0" applyNumberFormat="1" applyBorder="1"/>
    <xf numFmtId="0" fontId="31" fillId="0" borderId="1" xfId="0" applyFont="1" applyBorder="1" applyAlignment="1">
      <alignment wrapText="1"/>
    </xf>
    <xf numFmtId="0" fontId="32" fillId="0" borderId="0" xfId="0" applyFont="1"/>
    <xf numFmtId="0" fontId="31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3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0" fillId="0" borderId="0" xfId="0" applyFont="1"/>
    <xf numFmtId="0" fontId="30" fillId="0" borderId="1" xfId="0" applyFont="1" applyBorder="1"/>
    <xf numFmtId="0" fontId="30" fillId="0" borderId="1" xfId="0" applyFont="1" applyBorder="1" applyAlignment="1">
      <alignment vertical="center" wrapText="1"/>
    </xf>
    <xf numFmtId="3" fontId="2" fillId="6" borderId="1" xfId="0" applyNumberFormat="1" applyFont="1" applyFill="1" applyBorder="1"/>
    <xf numFmtId="169" fontId="2" fillId="6" borderId="0" xfId="2" applyNumberFormat="1" applyFont="1" applyFill="1"/>
    <xf numFmtId="0" fontId="8" fillId="6" borderId="0" xfId="0" applyFont="1" applyFill="1" applyProtection="1">
      <protection hidden="1"/>
    </xf>
    <xf numFmtId="166" fontId="1" fillId="6" borderId="0" xfId="0" applyNumberFormat="1" applyFont="1" applyFill="1"/>
    <xf numFmtId="49" fontId="14" fillId="2" borderId="1" xfId="0" applyNumberFormat="1" applyFont="1" applyFill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49" fontId="30" fillId="2" borderId="0" xfId="0" applyNumberFormat="1" applyFont="1" applyFill="1" applyAlignment="1">
      <alignment horizontal="center"/>
    </xf>
    <xf numFmtId="0" fontId="8" fillId="6" borderId="0" xfId="0" applyFont="1" applyFill="1"/>
    <xf numFmtId="49" fontId="2" fillId="2" borderId="1" xfId="0" applyNumberFormat="1" applyFont="1" applyFill="1" applyBorder="1" applyAlignment="1">
      <alignment horizontal="center" vertical="center"/>
    </xf>
    <xf numFmtId="49" fontId="30" fillId="0" borderId="0" xfId="0" applyNumberFormat="1" applyFont="1" applyAlignment="1">
      <alignment horizontal="center"/>
    </xf>
    <xf numFmtId="0" fontId="30" fillId="0" borderId="1" xfId="0" applyFont="1" applyBorder="1" applyAlignment="1">
      <alignment wrapText="1"/>
    </xf>
    <xf numFmtId="0" fontId="0" fillId="0" borderId="4" xfId="0" applyFill="1" applyBorder="1"/>
    <xf numFmtId="167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5" fillId="0" borderId="1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0" xfId="0" applyFont="1"/>
    <xf numFmtId="0" fontId="35" fillId="0" borderId="1" xfId="0" applyFont="1" applyBorder="1" applyAlignment="1">
      <alignment horizontal="center"/>
    </xf>
    <xf numFmtId="0" fontId="35" fillId="0" borderId="1" xfId="0" applyFont="1" applyBorder="1" applyAlignment="1">
      <alignment horizontal="center" vertical="center"/>
    </xf>
    <xf numFmtId="0" fontId="3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5" fillId="0" borderId="0" xfId="0" applyFont="1" applyAlignment="1">
      <alignment horizontal="right" vertical="top"/>
    </xf>
    <xf numFmtId="0" fontId="35" fillId="0" borderId="0" xfId="0" applyFont="1" applyAlignment="1">
      <alignment horizontal="right"/>
    </xf>
    <xf numFmtId="49" fontId="35" fillId="2" borderId="1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2" fillId="0" borderId="0" xfId="1" applyFont="1" applyFill="1" applyAlignment="1" applyProtection="1">
      <alignment vertical="center"/>
      <protection locked="0"/>
    </xf>
    <xf numFmtId="0" fontId="39" fillId="0" borderId="0" xfId="0" applyFont="1"/>
    <xf numFmtId="0" fontId="29" fillId="2" borderId="0" xfId="0" applyFont="1" applyFill="1" applyBorder="1" applyAlignment="1" applyProtection="1">
      <alignment wrapText="1"/>
      <protection locked="0"/>
    </xf>
    <xf numFmtId="0" fontId="2" fillId="2" borderId="0" xfId="0" applyFont="1" applyFill="1" applyBorder="1" applyAlignment="1" applyProtection="1">
      <alignment horizontal="right" wrapText="1"/>
      <protection locked="0"/>
    </xf>
    <xf numFmtId="0" fontId="7" fillId="0" borderId="0" xfId="1" applyFont="1" applyFill="1" applyAlignment="1" applyProtection="1">
      <alignment vertical="center"/>
      <protection locked="0"/>
    </xf>
    <xf numFmtId="1" fontId="29" fillId="2" borderId="0" xfId="0" applyNumberFormat="1" applyFont="1" applyFill="1" applyBorder="1" applyAlignment="1" applyProtection="1">
      <alignment horizontal="center"/>
      <protection locked="0"/>
    </xf>
    <xf numFmtId="1" fontId="36" fillId="2" borderId="0" xfId="0" applyNumberFormat="1" applyFont="1" applyFill="1" applyBorder="1" applyAlignment="1" applyProtection="1">
      <alignment horizontal="center"/>
      <protection locked="0"/>
    </xf>
    <xf numFmtId="0" fontId="29" fillId="2" borderId="0" xfId="0" applyFont="1" applyFill="1" applyBorder="1" applyAlignment="1" applyProtection="1">
      <alignment horizontal="center"/>
      <protection locked="0"/>
    </xf>
    <xf numFmtId="1" fontId="37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0" borderId="16" xfId="1" applyNumberFormat="1" applyFont="1" applyBorder="1" applyAlignment="1" applyProtection="1">
      <alignment vertical="top"/>
    </xf>
    <xf numFmtId="0" fontId="7" fillId="0" borderId="16" xfId="1" applyFont="1" applyBorder="1" applyAlignment="1" applyProtection="1">
      <alignment vertical="top" wrapText="1"/>
    </xf>
    <xf numFmtId="0" fontId="2" fillId="0" borderId="16" xfId="1" applyFont="1" applyBorder="1" applyAlignment="1" applyProtection="1">
      <alignment horizontal="center" vertical="top" wrapText="1"/>
    </xf>
    <xf numFmtId="0" fontId="2" fillId="0" borderId="16" xfId="1" applyFont="1" applyBorder="1" applyAlignment="1" applyProtection="1">
      <alignment vertical="top" wrapText="1"/>
    </xf>
    <xf numFmtId="0" fontId="7" fillId="0" borderId="16" xfId="1" applyNumberFormat="1" applyFont="1" applyBorder="1" applyAlignment="1" applyProtection="1">
      <alignment vertical="top"/>
    </xf>
    <xf numFmtId="1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Alignment="1">
      <alignment horizontal="center"/>
    </xf>
    <xf numFmtId="169" fontId="0" fillId="0" borderId="1" xfId="2" applyNumberFormat="1" applyFont="1" applyBorder="1"/>
    <xf numFmtId="169" fontId="0" fillId="0" borderId="0" xfId="2" applyNumberFormat="1" applyFont="1"/>
    <xf numFmtId="169" fontId="32" fillId="0" borderId="0" xfId="2" applyNumberFormat="1" applyFont="1"/>
    <xf numFmtId="169" fontId="31" fillId="0" borderId="1" xfId="2" applyNumberFormat="1" applyFont="1" applyBorder="1" applyAlignment="1">
      <alignment wrapText="1"/>
    </xf>
    <xf numFmtId="169" fontId="31" fillId="0" borderId="1" xfId="2" applyNumberFormat="1" applyFont="1" applyBorder="1"/>
    <xf numFmtId="0" fontId="30" fillId="0" borderId="1" xfId="0" applyFont="1" applyBorder="1" applyAlignment="1">
      <alignment horizontal="center" wrapText="1"/>
    </xf>
    <xf numFmtId="2" fontId="32" fillId="0" borderId="0" xfId="0" applyNumberFormat="1" applyFont="1"/>
    <xf numFmtId="169" fontId="32" fillId="0" borderId="0" xfId="0" applyNumberFormat="1" applyFont="1"/>
    <xf numFmtId="0" fontId="2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8" fillId="0" borderId="0" xfId="0" applyFont="1"/>
    <xf numFmtId="0" fontId="4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6" fillId="0" borderId="0" xfId="0" applyFont="1"/>
    <xf numFmtId="0" fontId="43" fillId="0" borderId="0" xfId="0" applyFont="1" applyAlignment="1">
      <alignment vertical="top"/>
    </xf>
    <xf numFmtId="0" fontId="1" fillId="0" borderId="0" xfId="0" applyFont="1"/>
    <xf numFmtId="0" fontId="2" fillId="0" borderId="0" xfId="0" applyFont="1" applyAlignment="1"/>
    <xf numFmtId="0" fontId="5" fillId="0" borderId="0" xfId="0" applyFont="1" applyAlignment="1">
      <alignment wrapText="1"/>
    </xf>
    <xf numFmtId="1" fontId="2" fillId="0" borderId="0" xfId="0" applyNumberFormat="1" applyFont="1"/>
    <xf numFmtId="9" fontId="2" fillId="0" borderId="0" xfId="0" applyNumberFormat="1" applyFont="1"/>
    <xf numFmtId="0" fontId="2" fillId="0" borderId="0" xfId="0" applyFont="1" applyBorder="1" applyAlignment="1">
      <alignment wrapText="1"/>
    </xf>
    <xf numFmtId="1" fontId="2" fillId="0" borderId="0" xfId="0" applyNumberFormat="1" applyFont="1" applyBorder="1"/>
    <xf numFmtId="0" fontId="44" fillId="0" borderId="0" xfId="0" applyFont="1" applyAlignment="1"/>
    <xf numFmtId="166" fontId="0" fillId="0" borderId="0" xfId="0" applyNumberFormat="1" applyAlignment="1">
      <alignment horizontal="center" wrapText="1"/>
    </xf>
    <xf numFmtId="166" fontId="2" fillId="0" borderId="1" xfId="0" applyNumberFormat="1" applyFont="1" applyBorder="1" applyAlignment="1">
      <alignment horizontal="center"/>
    </xf>
    <xf numFmtId="169" fontId="0" fillId="0" borderId="0" xfId="0" applyNumberFormat="1"/>
    <xf numFmtId="0" fontId="1" fillId="0" borderId="1" xfId="0" applyFont="1" applyBorder="1" applyAlignment="1">
      <alignment wrapText="1"/>
    </xf>
    <xf numFmtId="0" fontId="29" fillId="4" borderId="0" xfId="1" applyFont="1" applyFill="1" applyAlignment="1" applyProtection="1">
      <alignment wrapText="1"/>
      <protection locked="0"/>
    </xf>
    <xf numFmtId="0" fontId="35" fillId="0" borderId="0" xfId="0" applyFont="1" applyAlignment="1">
      <alignment wrapText="1"/>
    </xf>
    <xf numFmtId="2" fontId="35" fillId="7" borderId="1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2" fontId="2" fillId="0" borderId="16" xfId="1" applyNumberFormat="1" applyFont="1" applyFill="1" applyBorder="1" applyAlignment="1" applyProtection="1">
      <alignment horizontal="center" vertical="top" wrapText="1"/>
      <protection locked="0"/>
    </xf>
    <xf numFmtId="4" fontId="35" fillId="0" borderId="1" xfId="0" applyNumberFormat="1" applyFont="1" applyBorder="1" applyAlignment="1">
      <alignment horizontal="center" vertical="center"/>
    </xf>
    <xf numFmtId="170" fontId="35" fillId="0" borderId="0" xfId="0" applyNumberFormat="1" applyFont="1"/>
    <xf numFmtId="0" fontId="34" fillId="0" borderId="0" xfId="0" applyFont="1" applyAlignment="1">
      <alignment horizontal="center" vertical="center"/>
    </xf>
    <xf numFmtId="0" fontId="35" fillId="5" borderId="0" xfId="0" applyFont="1" applyFill="1"/>
    <xf numFmtId="0" fontId="35" fillId="7" borderId="1" xfId="0" applyFont="1" applyFill="1" applyBorder="1" applyAlignment="1">
      <alignment horizontal="center" vertical="center" wrapText="1"/>
    </xf>
    <xf numFmtId="0" fontId="35" fillId="5" borderId="1" xfId="0" applyFont="1" applyFill="1" applyBorder="1" applyAlignment="1">
      <alignment horizontal="center" vertical="center" wrapText="1"/>
    </xf>
    <xf numFmtId="0" fontId="35" fillId="5" borderId="1" xfId="0" applyFont="1" applyFill="1" applyBorder="1" applyAlignment="1">
      <alignment horizontal="center" vertical="center"/>
    </xf>
    <xf numFmtId="2" fontId="35" fillId="0" borderId="1" xfId="0" applyNumberFormat="1" applyFont="1" applyBorder="1" applyAlignment="1">
      <alignment horizontal="center" vertical="center" wrapText="1"/>
    </xf>
    <xf numFmtId="0" fontId="46" fillId="0" borderId="16" xfId="1" applyFont="1" applyFill="1" applyBorder="1" applyAlignment="1" applyProtection="1">
      <alignment horizontal="center" vertical="center" wrapText="1"/>
      <protection locked="0"/>
    </xf>
    <xf numFmtId="1" fontId="46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46" fillId="0" borderId="16" xfId="1" applyFont="1" applyFill="1" applyBorder="1" applyAlignment="1" applyProtection="1">
      <alignment horizontal="center" vertical="top" wrapText="1"/>
      <protection locked="0"/>
    </xf>
    <xf numFmtId="1" fontId="46" fillId="0" borderId="16" xfId="1" applyNumberFormat="1" applyFont="1" applyFill="1" applyBorder="1" applyAlignment="1" applyProtection="1">
      <alignment horizontal="center" vertical="top" wrapText="1"/>
      <protection locked="0"/>
    </xf>
    <xf numFmtId="0" fontId="46" fillId="0" borderId="0" xfId="1" applyFont="1" applyFill="1" applyBorder="1" applyAlignment="1" applyProtection="1">
      <alignment horizontal="center" vertical="top" wrapText="1"/>
      <protection locked="0"/>
    </xf>
    <xf numFmtId="0" fontId="46" fillId="0" borderId="16" xfId="1" applyNumberFormat="1" applyFont="1" applyBorder="1" applyAlignment="1" applyProtection="1">
      <alignment vertical="top"/>
    </xf>
    <xf numFmtId="0" fontId="46" fillId="0" borderId="16" xfId="1" applyFont="1" applyFill="1" applyBorder="1" applyAlignment="1" applyProtection="1">
      <alignment vertical="top" wrapText="1"/>
    </xf>
    <xf numFmtId="0" fontId="45" fillId="0" borderId="16" xfId="1" applyFont="1" applyBorder="1" applyAlignment="1" applyProtection="1">
      <alignment vertical="top" wrapText="1"/>
    </xf>
    <xf numFmtId="0" fontId="46" fillId="0" borderId="16" xfId="1" applyFont="1" applyBorder="1" applyAlignment="1" applyProtection="1">
      <alignment horizontal="center" vertical="top" wrapText="1"/>
    </xf>
    <xf numFmtId="1" fontId="46" fillId="0" borderId="0" xfId="1" applyNumberFormat="1" applyFont="1" applyFill="1" applyBorder="1" applyAlignment="1" applyProtection="1">
      <alignment horizontal="center" vertical="top" wrapText="1"/>
      <protection locked="0"/>
    </xf>
    <xf numFmtId="0" fontId="47" fillId="0" borderId="16" xfId="1" applyFont="1" applyFill="1" applyBorder="1" applyAlignment="1" applyProtection="1">
      <alignment vertical="top"/>
    </xf>
    <xf numFmtId="1" fontId="46" fillId="0" borderId="16" xfId="1" applyNumberFormat="1" applyFont="1" applyFill="1" applyBorder="1" applyAlignment="1" applyProtection="1">
      <alignment vertical="top"/>
    </xf>
    <xf numFmtId="0" fontId="46" fillId="0" borderId="16" xfId="1" applyFont="1" applyBorder="1" applyAlignment="1" applyProtection="1">
      <alignment vertical="top" wrapText="1"/>
    </xf>
    <xf numFmtId="165" fontId="46" fillId="0" borderId="0" xfId="1" applyNumberFormat="1" applyFont="1" applyFill="1" applyBorder="1" applyAlignment="1" applyProtection="1">
      <alignment horizontal="center" vertical="top" wrapText="1"/>
      <protection locked="0"/>
    </xf>
    <xf numFmtId="0" fontId="46" fillId="0" borderId="16" xfId="1" applyFont="1" applyBorder="1" applyAlignment="1" applyProtection="1">
      <alignment horizontal="left" vertical="top" wrapText="1"/>
    </xf>
    <xf numFmtId="0" fontId="46" fillId="0" borderId="0" xfId="1" applyNumberFormat="1" applyFont="1" applyAlignment="1" applyProtection="1">
      <alignment vertical="top"/>
    </xf>
    <xf numFmtId="0" fontId="47" fillId="0" borderId="0" xfId="1" applyFont="1" applyFill="1" applyAlignment="1" applyProtection="1">
      <alignment vertical="top"/>
    </xf>
    <xf numFmtId="1" fontId="46" fillId="0" borderId="0" xfId="1" applyNumberFormat="1" applyFont="1" applyFill="1" applyAlignment="1" applyProtection="1">
      <alignment vertical="top"/>
    </xf>
    <xf numFmtId="0" fontId="46" fillId="0" borderId="0" xfId="1" applyFont="1" applyAlignment="1" applyProtection="1">
      <alignment vertical="top" wrapText="1"/>
    </xf>
    <xf numFmtId="0" fontId="46" fillId="0" borderId="0" xfId="1" applyFont="1" applyAlignment="1" applyProtection="1">
      <alignment horizontal="center" vertical="top" wrapText="1"/>
    </xf>
    <xf numFmtId="1" fontId="46" fillId="0" borderId="0" xfId="1" applyNumberFormat="1" applyFont="1" applyFill="1" applyAlignment="1" applyProtection="1">
      <alignment horizontal="center" vertical="top" wrapText="1"/>
      <protection locked="0"/>
    </xf>
    <xf numFmtId="0" fontId="47" fillId="0" borderId="0" xfId="1" applyFont="1" applyFill="1" applyBorder="1" applyAlignment="1" applyProtection="1">
      <alignment horizontal="center" vertical="top"/>
      <protection locked="0"/>
    </xf>
    <xf numFmtId="0" fontId="46" fillId="0" borderId="0" xfId="1" applyFont="1" applyFill="1" applyAlignment="1" applyProtection="1">
      <alignment horizontal="left" vertical="justify"/>
      <protection locked="0"/>
    </xf>
    <xf numFmtId="0" fontId="47" fillId="0" borderId="0" xfId="1" applyFont="1" applyFill="1" applyAlignment="1" applyProtection="1">
      <alignment horizontal="left" vertical="justify"/>
      <protection locked="0"/>
    </xf>
    <xf numFmtId="1" fontId="46" fillId="0" borderId="0" xfId="1" applyNumberFormat="1" applyFont="1" applyFill="1" applyAlignment="1" applyProtection="1">
      <alignment vertical="justify"/>
      <protection locked="0"/>
    </xf>
    <xf numFmtId="0" fontId="46" fillId="0" borderId="0" xfId="1" applyFont="1" applyFill="1" applyBorder="1" applyAlignment="1" applyProtection="1">
      <alignment vertical="justify" wrapText="1"/>
      <protection locked="0"/>
    </xf>
    <xf numFmtId="0" fontId="46" fillId="0" borderId="0" xfId="1" applyFont="1" applyFill="1" applyBorder="1" applyAlignment="1" applyProtection="1">
      <alignment horizontal="center" vertical="justify" wrapText="1"/>
      <protection locked="0"/>
    </xf>
    <xf numFmtId="0" fontId="46" fillId="0" borderId="0" xfId="1" applyFont="1" applyFill="1" applyAlignment="1" applyProtection="1">
      <alignment horizontal="left" vertical="center"/>
      <protection locked="0"/>
    </xf>
    <xf numFmtId="0" fontId="47" fillId="0" borderId="0" xfId="1" applyFont="1" applyFill="1" applyAlignment="1" applyProtection="1">
      <alignment horizontal="left" vertical="center"/>
      <protection locked="0"/>
    </xf>
    <xf numFmtId="1" fontId="46" fillId="0" borderId="0" xfId="1" applyNumberFormat="1" applyFont="1" applyFill="1" applyAlignment="1" applyProtection="1">
      <alignment vertical="center"/>
      <protection locked="0"/>
    </xf>
    <xf numFmtId="0" fontId="46" fillId="0" borderId="0" xfId="1" applyFont="1" applyFill="1" applyAlignment="1" applyProtection="1">
      <alignment vertical="center" wrapText="1"/>
      <protection locked="0"/>
    </xf>
    <xf numFmtId="49" fontId="46" fillId="0" borderId="0" xfId="1" applyNumberFormat="1" applyFont="1" applyFill="1" applyAlignment="1" applyProtection="1">
      <alignment horizontal="center" vertical="center" wrapText="1"/>
      <protection locked="0"/>
    </xf>
    <xf numFmtId="1" fontId="46" fillId="0" borderId="0" xfId="1" applyNumberFormat="1" applyFont="1" applyFill="1" applyAlignment="1" applyProtection="1">
      <alignment horizontal="center" vertical="center" wrapText="1"/>
      <protection locked="0"/>
    </xf>
    <xf numFmtId="0" fontId="46" fillId="0" borderId="0" xfId="1" applyFont="1" applyFill="1" applyAlignment="1" applyProtection="1">
      <alignment horizontal="left" vertical="center" wrapText="1"/>
      <protection locked="0"/>
    </xf>
    <xf numFmtId="0" fontId="46" fillId="0" borderId="0" xfId="1" applyFont="1" applyFill="1" applyAlignment="1" applyProtection="1">
      <alignment horizontal="center" vertical="center" wrapText="1"/>
      <protection locked="0"/>
    </xf>
    <xf numFmtId="1" fontId="49" fillId="5" borderId="16" xfId="1" applyNumberFormat="1" applyFont="1" applyFill="1" applyBorder="1" applyAlignment="1" applyProtection="1">
      <alignment horizontal="center" vertical="top" wrapText="1"/>
      <protection locked="0"/>
    </xf>
    <xf numFmtId="2" fontId="49" fillId="5" borderId="16" xfId="1" applyNumberFormat="1" applyFont="1" applyFill="1" applyBorder="1" applyAlignment="1" applyProtection="1">
      <alignment horizontal="center" vertical="top" wrapText="1"/>
      <protection locked="0"/>
    </xf>
    <xf numFmtId="1" fontId="49" fillId="5" borderId="16" xfId="1" applyNumberFormat="1" applyFont="1" applyFill="1" applyBorder="1" applyAlignment="1" applyProtection="1">
      <alignment horizontal="left" vertical="top" wrapText="1"/>
      <protection locked="0"/>
    </xf>
    <xf numFmtId="0" fontId="2" fillId="0" borderId="0" xfId="1" applyFont="1" applyFill="1" applyBorder="1" applyAlignment="1" applyProtection="1">
      <alignment horizontal="left" vertical="justify" wrapText="1"/>
      <protection locked="0"/>
    </xf>
    <xf numFmtId="0" fontId="2" fillId="0" borderId="0" xfId="1" applyFont="1" applyFill="1" applyAlignment="1" applyProtection="1">
      <alignment horizontal="left" vertical="center" wrapText="1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Alignment="1" applyProtection="1">
      <alignment horizontal="left" vertical="center" wrapText="1"/>
      <protection locked="0"/>
    </xf>
    <xf numFmtId="0" fontId="2" fillId="0" borderId="3" xfId="1" applyFont="1" applyFill="1" applyBorder="1" applyAlignment="1" applyProtection="1">
      <alignment horizontal="left" vertical="center" wrapText="1"/>
      <protection locked="0"/>
    </xf>
    <xf numFmtId="0" fontId="48" fillId="0" borderId="0" xfId="1" applyFont="1" applyFill="1" applyAlignment="1" applyProtection="1">
      <alignment horizontal="left" vertical="center" wrapText="1"/>
      <protection locked="0"/>
    </xf>
    <xf numFmtId="0" fontId="46" fillId="0" borderId="16" xfId="1" applyFont="1" applyFill="1" applyBorder="1" applyAlignment="1" applyProtection="1">
      <alignment horizontal="center" vertical="center" wrapText="1"/>
      <protection locked="0"/>
    </xf>
    <xf numFmtId="1" fontId="46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Alignment="1" applyProtection="1">
      <alignment horizontal="left" vertical="center"/>
      <protection locked="0"/>
    </xf>
    <xf numFmtId="0" fontId="45" fillId="0" borderId="0" xfId="1" applyFont="1" applyFill="1" applyAlignment="1" applyProtection="1">
      <alignment horizontal="center" vertical="center"/>
      <protection locked="0"/>
    </xf>
    <xf numFmtId="0" fontId="6" fillId="0" borderId="0" xfId="1" applyFont="1" applyFill="1" applyAlignment="1" applyProtection="1">
      <alignment horizontal="center" vertical="center"/>
      <protection locked="0"/>
    </xf>
    <xf numFmtId="0" fontId="45" fillId="0" borderId="3" xfId="1" applyFont="1" applyFill="1" applyBorder="1" applyAlignment="1" applyProtection="1">
      <alignment horizontal="left" wrapText="1"/>
      <protection locked="0"/>
    </xf>
    <xf numFmtId="0" fontId="46" fillId="0" borderId="0" xfId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/>
    </xf>
    <xf numFmtId="0" fontId="0" fillId="0" borderId="0" xfId="0" applyAlignment="1"/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18" fillId="0" borderId="0" xfId="0" applyFont="1" applyAlignment="1">
      <alignment vertical="top"/>
    </xf>
    <xf numFmtId="0" fontId="17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7" fillId="0" borderId="9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9" fillId="0" borderId="9" xfId="0" applyFont="1" applyBorder="1" applyAlignment="1">
      <alignment vertical="top" wrapText="1"/>
    </xf>
    <xf numFmtId="0" fontId="19" fillId="0" borderId="7" xfId="0" applyFont="1" applyBorder="1" applyAlignment="1">
      <alignment vertical="top" wrapText="1"/>
    </xf>
    <xf numFmtId="0" fontId="19" fillId="0" borderId="8" xfId="0" applyFont="1" applyBorder="1" applyAlignment="1">
      <alignment vertical="top" wrapText="1"/>
    </xf>
    <xf numFmtId="0" fontId="17" fillId="0" borderId="9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20" fillId="0" borderId="3" xfId="0" applyFont="1" applyBorder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6" fillId="0" borderId="7" xfId="0" applyFont="1" applyBorder="1" applyAlignment="1">
      <alignment vertical="top" wrapText="1"/>
    </xf>
    <xf numFmtId="0" fontId="0" fillId="0" borderId="7" xfId="0" applyBorder="1" applyAlignment="1"/>
    <xf numFmtId="0" fontId="0" fillId="0" borderId="8" xfId="0" applyBorder="1" applyAlignment="1"/>
    <xf numFmtId="0" fontId="15" fillId="0" borderId="7" xfId="0" applyFont="1" applyBorder="1" applyAlignment="1">
      <alignment vertical="top" wrapText="1"/>
    </xf>
    <xf numFmtId="0" fontId="24" fillId="0" borderId="0" xfId="0" applyFont="1" applyAlignment="1"/>
    <xf numFmtId="0" fontId="25" fillId="0" borderId="0" xfId="0" applyFont="1" applyAlignment="1"/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8" fillId="0" borderId="7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33" fillId="0" borderId="1" xfId="0" applyFont="1" applyBorder="1" applyAlignment="1">
      <alignment horizontal="center" wrapText="1"/>
    </xf>
    <xf numFmtId="0" fontId="33" fillId="0" borderId="1" xfId="0" applyFont="1" applyBorder="1" applyAlignment="1">
      <alignment horizontal="center"/>
    </xf>
    <xf numFmtId="169" fontId="33" fillId="0" borderId="1" xfId="2" applyNumberFormat="1" applyFont="1" applyBorder="1" applyAlignment="1">
      <alignment horizontal="center" wrapText="1"/>
    </xf>
    <xf numFmtId="169" fontId="33" fillId="0" borderId="1" xfId="2" applyNumberFormat="1" applyFont="1" applyBorder="1" applyAlignment="1">
      <alignment horizontal="center"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0" fontId="34" fillId="0" borderId="3" xfId="0" applyFont="1" applyBorder="1" applyAlignment="1">
      <alignment horizontal="center"/>
    </xf>
    <xf numFmtId="0" fontId="1" fillId="0" borderId="0" xfId="0" applyFont="1" applyAlignment="1"/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right" vertical="top"/>
    </xf>
    <xf numFmtId="0" fontId="35" fillId="0" borderId="0" xfId="0" applyFont="1" applyAlignment="1">
      <alignment horizontal="left" vertical="top" wrapText="1"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left" vertical="top"/>
    </xf>
    <xf numFmtId="0" fontId="30" fillId="0" borderId="0" xfId="0" applyFont="1" applyAlignment="1"/>
    <xf numFmtId="0" fontId="2" fillId="2" borderId="0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39" fillId="0" borderId="0" xfId="0" applyFont="1" applyAlignment="1">
      <alignment horizontal="center" wrapText="1"/>
    </xf>
    <xf numFmtId="0" fontId="7" fillId="0" borderId="3" xfId="1" applyFont="1" applyFill="1" applyBorder="1" applyAlignment="1" applyProtection="1">
      <alignment horizontal="center" vertical="center" wrapText="1"/>
      <protection locked="0"/>
    </xf>
    <xf numFmtId="0" fontId="38" fillId="0" borderId="0" xfId="1" applyFont="1" applyFill="1" applyAlignment="1" applyProtection="1">
      <alignment horizontal="center" vertical="center"/>
      <protection locked="0"/>
    </xf>
    <xf numFmtId="0" fontId="2" fillId="0" borderId="20" xfId="1" applyFont="1" applyFill="1" applyBorder="1" applyAlignment="1" applyProtection="1">
      <alignment horizontal="center" vertical="center" wrapText="1"/>
      <protection locked="0"/>
    </xf>
    <xf numFmtId="0" fontId="2" fillId="0" borderId="11" xfId="1" applyFont="1" applyFill="1" applyBorder="1" applyAlignment="1" applyProtection="1">
      <alignment horizontal="center" vertical="center" wrapText="1"/>
      <protection locked="0"/>
    </xf>
    <xf numFmtId="0" fontId="2" fillId="0" borderId="21" xfId="1" applyFont="1" applyFill="1" applyBorder="1" applyAlignment="1" applyProtection="1">
      <alignment horizontal="center" vertical="center" wrapText="1"/>
      <protection locked="0"/>
    </xf>
    <xf numFmtId="0" fontId="2" fillId="0" borderId="22" xfId="1" applyFont="1" applyFill="1" applyBorder="1" applyAlignment="1" applyProtection="1">
      <alignment horizontal="center" vertical="center" wrapText="1"/>
      <protection locked="0"/>
    </xf>
    <xf numFmtId="0" fontId="2" fillId="0" borderId="12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Fill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Fill="1" applyBorder="1" applyAlignment="1" applyProtection="1">
      <alignment horizontal="center" vertical="center" wrapText="1"/>
      <protection locked="0"/>
    </xf>
    <xf numFmtId="1" fontId="2" fillId="0" borderId="19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24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15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1" applyFont="1" applyFill="1" applyBorder="1" applyAlignment="1" applyProtection="1">
      <alignment horizontal="center" vertical="center" wrapText="1"/>
      <protection locked="0"/>
    </xf>
    <xf numFmtId="0" fontId="2" fillId="0" borderId="14" xfId="1" applyFont="1" applyFill="1" applyBorder="1" applyAlignment="1" applyProtection="1">
      <alignment horizontal="center" vertical="center" wrapText="1"/>
      <protection locked="0"/>
    </xf>
    <xf numFmtId="0" fontId="2" fillId="0" borderId="15" xfId="1" applyFont="1" applyFill="1" applyBorder="1" applyAlignment="1" applyProtection="1">
      <alignment horizontal="center" vertical="center" wrapText="1"/>
      <protection locked="0"/>
    </xf>
    <xf numFmtId="1" fontId="2" fillId="0" borderId="0" xfId="1" applyNumberFormat="1" applyFont="1" applyFill="1" applyBorder="1" applyAlignment="1" applyProtection="1">
      <alignment horizontal="right" wrapText="1"/>
      <protection locked="0"/>
    </xf>
  </cellXfs>
  <cellStyles count="3">
    <cellStyle name="Обычный" xfId="0" builtinId="0"/>
    <cellStyle name="Обычный_информация тарифов изменения дез Каменецкий рай ЦГЭ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opLeftCell="A77" zoomScale="89" zoomScaleNormal="100" zoomScaleSheetLayoutView="100" workbookViewId="0">
      <selection activeCell="L78" sqref="I13:L78"/>
    </sheetView>
  </sheetViews>
  <sheetFormatPr defaultRowHeight="15.75"/>
  <cols>
    <col min="1" max="1" width="3.85546875" style="148" customWidth="1"/>
    <col min="2" max="2" width="3.5703125" style="148" customWidth="1"/>
    <col min="3" max="3" width="4" style="148" bestFit="1" customWidth="1"/>
    <col min="4" max="4" width="2.85546875" style="149" hidden="1" customWidth="1"/>
    <col min="5" max="5" width="3.42578125" style="149" hidden="1" customWidth="1"/>
    <col min="6" max="6" width="2.5703125" style="149" hidden="1" customWidth="1"/>
    <col min="7" max="7" width="53.5703125" style="149" customWidth="1"/>
    <col min="8" max="8" width="29.28515625" style="150" customWidth="1"/>
    <col min="9" max="9" width="10.85546875" style="151" customWidth="1"/>
    <col min="10" max="10" width="12.7109375" style="151" customWidth="1"/>
    <col min="11" max="11" width="11.42578125" style="150" customWidth="1"/>
    <col min="12" max="12" width="12.42578125" style="150" customWidth="1"/>
    <col min="13" max="13" width="9.85546875" style="151" customWidth="1"/>
    <col min="14" max="14" width="12" style="122" customWidth="1"/>
    <col min="15" max="16384" width="9.140625" style="122"/>
  </cols>
  <sheetData>
    <row r="1" spans="1:14" ht="15.75" customHeight="1">
      <c r="A1" s="311" t="s">
        <v>399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</row>
    <row r="2" spans="1:14" ht="14.25" customHeight="1">
      <c r="A2" s="312" t="s">
        <v>381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</row>
    <row r="3" spans="1:14" ht="18.75">
      <c r="A3" s="313" t="s">
        <v>175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</row>
    <row r="4" spans="1:14" s="251" customFormat="1" ht="22.5">
      <c r="A4" s="314" t="s">
        <v>397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</row>
    <row r="5" spans="1:14">
      <c r="A5" s="304" t="s">
        <v>176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</row>
    <row r="6" spans="1:14" ht="12" customHeight="1">
      <c r="A6" s="123"/>
      <c r="B6" s="123"/>
      <c r="C6" s="123"/>
      <c r="D6" s="123"/>
      <c r="E6" s="123"/>
      <c r="F6" s="123"/>
      <c r="G6" s="123"/>
      <c r="H6" s="124"/>
      <c r="I6" s="124"/>
      <c r="J6" s="124"/>
      <c r="K6" s="124"/>
      <c r="L6" s="124"/>
      <c r="M6" s="124"/>
      <c r="N6" s="124"/>
    </row>
    <row r="7" spans="1:14" ht="3.75" customHeight="1" thickBot="1">
      <c r="A7" s="124"/>
      <c r="B7" s="124"/>
      <c r="C7" s="124"/>
      <c r="D7" s="124"/>
      <c r="E7" s="124"/>
      <c r="F7" s="124"/>
      <c r="G7" s="125"/>
      <c r="H7" s="125"/>
      <c r="I7" s="125"/>
      <c r="J7" s="125"/>
      <c r="K7" s="125"/>
      <c r="L7" s="125"/>
      <c r="M7" s="124"/>
      <c r="N7" s="124"/>
    </row>
    <row r="8" spans="1:14" s="126" customFormat="1" ht="32.25" customHeight="1" thickBot="1">
      <c r="A8" s="309" t="s">
        <v>0</v>
      </c>
      <c r="B8" s="309"/>
      <c r="C8" s="309"/>
      <c r="D8" s="264"/>
      <c r="E8" s="264"/>
      <c r="F8" s="264"/>
      <c r="G8" s="309" t="s">
        <v>177</v>
      </c>
      <c r="H8" s="309" t="s">
        <v>20</v>
      </c>
      <c r="I8" s="310" t="s">
        <v>178</v>
      </c>
      <c r="J8" s="310"/>
      <c r="K8" s="310"/>
      <c r="L8" s="310"/>
      <c r="M8" s="315"/>
      <c r="N8" s="305"/>
    </row>
    <row r="9" spans="1:14" s="126" customFormat="1" ht="30" customHeight="1" thickBot="1">
      <c r="A9" s="309"/>
      <c r="B9" s="309"/>
      <c r="C9" s="309"/>
      <c r="D9" s="264"/>
      <c r="E9" s="264"/>
      <c r="F9" s="264"/>
      <c r="G9" s="309"/>
      <c r="H9" s="309"/>
      <c r="I9" s="310" t="s">
        <v>394</v>
      </c>
      <c r="J9" s="310"/>
      <c r="K9" s="309" t="s">
        <v>395</v>
      </c>
      <c r="L9" s="309"/>
      <c r="M9" s="315"/>
      <c r="N9" s="305"/>
    </row>
    <row r="10" spans="1:14" s="126" customFormat="1" ht="70.5" thickBot="1">
      <c r="A10" s="309"/>
      <c r="B10" s="309"/>
      <c r="C10" s="309"/>
      <c r="D10" s="264"/>
      <c r="E10" s="264"/>
      <c r="F10" s="264"/>
      <c r="G10" s="309"/>
      <c r="H10" s="309"/>
      <c r="I10" s="265" t="s">
        <v>180</v>
      </c>
      <c r="J10" s="265" t="s">
        <v>181</v>
      </c>
      <c r="K10" s="265" t="s">
        <v>180</v>
      </c>
      <c r="L10" s="265" t="s">
        <v>181</v>
      </c>
      <c r="M10" s="315"/>
      <c r="N10" s="305"/>
    </row>
    <row r="11" spans="1:14" ht="24" thickBot="1">
      <c r="A11" s="309">
        <v>1</v>
      </c>
      <c r="B11" s="309"/>
      <c r="C11" s="309"/>
      <c r="D11" s="266"/>
      <c r="E11" s="266"/>
      <c r="F11" s="266"/>
      <c r="G11" s="266">
        <v>2</v>
      </c>
      <c r="H11" s="266">
        <v>3</v>
      </c>
      <c r="I11" s="267">
        <v>4</v>
      </c>
      <c r="J11" s="267">
        <v>5</v>
      </c>
      <c r="K11" s="266">
        <v>6</v>
      </c>
      <c r="L11" s="266">
        <v>7</v>
      </c>
      <c r="M11" s="268"/>
      <c r="N11" s="131"/>
    </row>
    <row r="12" spans="1:14" ht="24" thickBot="1">
      <c r="A12" s="269" t="s">
        <v>182</v>
      </c>
      <c r="B12" s="269"/>
      <c r="C12" s="269"/>
      <c r="D12" s="270"/>
      <c r="E12" s="270"/>
      <c r="F12" s="270"/>
      <c r="G12" s="271" t="s">
        <v>183</v>
      </c>
      <c r="H12" s="272"/>
      <c r="I12" s="267"/>
      <c r="J12" s="267"/>
      <c r="K12" s="267"/>
      <c r="L12" s="267"/>
      <c r="M12" s="273"/>
      <c r="N12" s="132"/>
    </row>
    <row r="13" spans="1:14" ht="70.5" thickBot="1">
      <c r="A13" s="269" t="s">
        <v>182</v>
      </c>
      <c r="B13" s="269" t="s">
        <v>182</v>
      </c>
      <c r="C13" s="269"/>
      <c r="D13" s="274"/>
      <c r="E13" s="275"/>
      <c r="F13" s="275"/>
      <c r="G13" s="276" t="s">
        <v>184</v>
      </c>
      <c r="H13" s="272"/>
      <c r="I13" s="299"/>
      <c r="J13" s="299"/>
      <c r="K13" s="299"/>
      <c r="L13" s="299"/>
      <c r="M13" s="273"/>
      <c r="N13" s="132"/>
    </row>
    <row r="14" spans="1:14" ht="24" thickBot="1">
      <c r="A14" s="269" t="s">
        <v>182</v>
      </c>
      <c r="B14" s="269" t="s">
        <v>182</v>
      </c>
      <c r="C14" s="269" t="s">
        <v>182</v>
      </c>
      <c r="D14" s="274"/>
      <c r="E14" s="275"/>
      <c r="F14" s="275"/>
      <c r="G14" s="276" t="s">
        <v>59</v>
      </c>
      <c r="H14" s="272" t="s">
        <v>185</v>
      </c>
      <c r="I14" s="300">
        <v>1.81</v>
      </c>
      <c r="J14" s="300">
        <f>I14+(I14*20%)</f>
        <v>2.1720000000000002</v>
      </c>
      <c r="K14" s="300">
        <f>I14+0.5%</f>
        <v>1.8149999999999999</v>
      </c>
      <c r="L14" s="300">
        <f>K14+(K14*20%)</f>
        <v>2.1779999999999999</v>
      </c>
      <c r="M14" s="277"/>
      <c r="N14" s="132"/>
    </row>
    <row r="15" spans="1:14" ht="70.5" thickBot="1">
      <c r="A15" s="269" t="s">
        <v>182</v>
      </c>
      <c r="B15" s="269" t="s">
        <v>182</v>
      </c>
      <c r="C15" s="269" t="s">
        <v>186</v>
      </c>
      <c r="D15" s="274"/>
      <c r="E15" s="275"/>
      <c r="F15" s="275"/>
      <c r="G15" s="276" t="s">
        <v>187</v>
      </c>
      <c r="H15" s="272" t="s">
        <v>188</v>
      </c>
      <c r="I15" s="300">
        <v>1.05</v>
      </c>
      <c r="J15" s="300">
        <f t="shared" ref="J15:J78" si="0">I15+(I15*20%)</f>
        <v>1.26</v>
      </c>
      <c r="K15" s="300">
        <f>I15+0.5%</f>
        <v>1.0549999999999999</v>
      </c>
      <c r="L15" s="300">
        <v>1.27</v>
      </c>
      <c r="M15" s="277"/>
      <c r="N15" s="132"/>
    </row>
    <row r="16" spans="1:14" ht="60.75" customHeight="1" thickBot="1">
      <c r="A16" s="269" t="s">
        <v>182</v>
      </c>
      <c r="B16" s="269" t="s">
        <v>182</v>
      </c>
      <c r="C16" s="269" t="s">
        <v>189</v>
      </c>
      <c r="D16" s="274"/>
      <c r="E16" s="275"/>
      <c r="F16" s="275"/>
      <c r="G16" s="276" t="s">
        <v>190</v>
      </c>
      <c r="H16" s="272" t="s">
        <v>191</v>
      </c>
      <c r="I16" s="300">
        <v>0.67</v>
      </c>
      <c r="J16" s="300">
        <f t="shared" si="0"/>
        <v>0.80400000000000005</v>
      </c>
      <c r="K16" s="300">
        <v>0.67</v>
      </c>
      <c r="L16" s="300">
        <f t="shared" ref="L16:L17" si="1">K16+(K16*20%)</f>
        <v>0.80400000000000005</v>
      </c>
      <c r="M16" s="277"/>
      <c r="N16" s="132"/>
    </row>
    <row r="17" spans="1:14" ht="47.25" hidden="1" thickBot="1">
      <c r="A17" s="269" t="s">
        <v>182</v>
      </c>
      <c r="B17" s="269" t="s">
        <v>186</v>
      </c>
      <c r="C17" s="269"/>
      <c r="D17" s="274"/>
      <c r="E17" s="275"/>
      <c r="F17" s="275"/>
      <c r="G17" s="276" t="s">
        <v>192</v>
      </c>
      <c r="H17" s="272" t="s">
        <v>185</v>
      </c>
      <c r="I17" s="299"/>
      <c r="J17" s="299">
        <f t="shared" si="0"/>
        <v>0</v>
      </c>
      <c r="K17" s="299"/>
      <c r="L17" s="299">
        <f t="shared" si="1"/>
        <v>0</v>
      </c>
      <c r="M17" s="273"/>
      <c r="N17" s="132"/>
    </row>
    <row r="18" spans="1:14" ht="68.25" thickBot="1">
      <c r="A18" s="269" t="s">
        <v>182</v>
      </c>
      <c r="B18" s="269" t="s">
        <v>189</v>
      </c>
      <c r="C18" s="269"/>
      <c r="D18" s="274"/>
      <c r="E18" s="275"/>
      <c r="F18" s="275"/>
      <c r="G18" s="271" t="s">
        <v>193</v>
      </c>
      <c r="H18" s="272"/>
      <c r="I18" s="299"/>
      <c r="J18" s="299"/>
      <c r="K18" s="299"/>
      <c r="L18" s="299"/>
      <c r="M18" s="273"/>
      <c r="N18" s="132"/>
    </row>
    <row r="19" spans="1:14" ht="24" thickBot="1">
      <c r="A19" s="269" t="s">
        <v>182</v>
      </c>
      <c r="B19" s="269" t="s">
        <v>189</v>
      </c>
      <c r="C19" s="269" t="s">
        <v>182</v>
      </c>
      <c r="D19" s="274"/>
      <c r="E19" s="275"/>
      <c r="F19" s="275"/>
      <c r="G19" s="276" t="s">
        <v>59</v>
      </c>
      <c r="H19" s="272" t="s">
        <v>185</v>
      </c>
      <c r="I19" s="300">
        <v>15.35</v>
      </c>
      <c r="J19" s="300">
        <f t="shared" si="0"/>
        <v>18.420000000000002</v>
      </c>
      <c r="K19" s="300">
        <v>15.43</v>
      </c>
      <c r="L19" s="300">
        <f t="shared" ref="L19:L24" si="2">K19+(K19*20%)</f>
        <v>18.515999999999998</v>
      </c>
      <c r="M19" s="277"/>
      <c r="N19" s="132"/>
    </row>
    <row r="20" spans="1:14" ht="70.5" thickBot="1">
      <c r="A20" s="269" t="s">
        <v>182</v>
      </c>
      <c r="B20" s="269" t="s">
        <v>189</v>
      </c>
      <c r="C20" s="269" t="s">
        <v>186</v>
      </c>
      <c r="D20" s="274"/>
      <c r="E20" s="275"/>
      <c r="F20" s="275"/>
      <c r="G20" s="276" t="s">
        <v>187</v>
      </c>
      <c r="H20" s="272" t="s">
        <v>188</v>
      </c>
      <c r="I20" s="300">
        <v>5.14</v>
      </c>
      <c r="J20" s="300">
        <f t="shared" si="0"/>
        <v>6.1679999999999993</v>
      </c>
      <c r="K20" s="300">
        <v>5.17</v>
      </c>
      <c r="L20" s="300">
        <f t="shared" si="2"/>
        <v>6.2039999999999997</v>
      </c>
      <c r="M20" s="277"/>
      <c r="N20" s="132"/>
    </row>
    <row r="21" spans="1:14" ht="47.25" thickBot="1">
      <c r="A21" s="269" t="s">
        <v>182</v>
      </c>
      <c r="B21" s="269" t="s">
        <v>189</v>
      </c>
      <c r="C21" s="269" t="s">
        <v>189</v>
      </c>
      <c r="D21" s="274"/>
      <c r="E21" s="275"/>
      <c r="F21" s="275"/>
      <c r="G21" s="276" t="s">
        <v>190</v>
      </c>
      <c r="H21" s="272" t="s">
        <v>191</v>
      </c>
      <c r="I21" s="300">
        <v>2.85</v>
      </c>
      <c r="J21" s="300">
        <f t="shared" si="0"/>
        <v>3.42</v>
      </c>
      <c r="K21" s="300">
        <f>I21+0.5%</f>
        <v>2.855</v>
      </c>
      <c r="L21" s="300">
        <v>3.43</v>
      </c>
      <c r="M21" s="277"/>
      <c r="N21" s="132"/>
    </row>
    <row r="22" spans="1:14" ht="55.5" customHeight="1" thickBot="1">
      <c r="A22" s="269" t="s">
        <v>182</v>
      </c>
      <c r="B22" s="269" t="s">
        <v>194</v>
      </c>
      <c r="C22" s="269"/>
      <c r="D22" s="274"/>
      <c r="E22" s="275"/>
      <c r="F22" s="275"/>
      <c r="G22" s="276" t="s">
        <v>73</v>
      </c>
      <c r="H22" s="272" t="s">
        <v>195</v>
      </c>
      <c r="I22" s="300">
        <v>5.73</v>
      </c>
      <c r="J22" s="300">
        <f t="shared" si="0"/>
        <v>6.8760000000000003</v>
      </c>
      <c r="K22" s="300">
        <v>5.76</v>
      </c>
      <c r="L22" s="300">
        <f>K22+(K22*20%)</f>
        <v>6.9119999999999999</v>
      </c>
      <c r="M22" s="277"/>
      <c r="N22" s="132"/>
    </row>
    <row r="23" spans="1:14" ht="51.75" customHeight="1" thickBot="1">
      <c r="A23" s="269" t="s">
        <v>182</v>
      </c>
      <c r="B23" s="269" t="s">
        <v>196</v>
      </c>
      <c r="C23" s="269"/>
      <c r="D23" s="274"/>
      <c r="E23" s="275"/>
      <c r="F23" s="275"/>
      <c r="G23" s="276" t="s">
        <v>78</v>
      </c>
      <c r="H23" s="272" t="s">
        <v>191</v>
      </c>
      <c r="I23" s="300">
        <v>6.07</v>
      </c>
      <c r="J23" s="300">
        <f t="shared" si="0"/>
        <v>7.2840000000000007</v>
      </c>
      <c r="K23" s="300">
        <v>6.1</v>
      </c>
      <c r="L23" s="300">
        <f t="shared" si="2"/>
        <v>7.3199999999999994</v>
      </c>
      <c r="M23" s="277"/>
      <c r="N23" s="132"/>
    </row>
    <row r="24" spans="1:14" ht="29.25" hidden="1" customHeight="1">
      <c r="A24" s="269" t="s">
        <v>182</v>
      </c>
      <c r="B24" s="269" t="s">
        <v>197</v>
      </c>
      <c r="C24" s="269"/>
      <c r="D24" s="274"/>
      <c r="E24" s="275"/>
      <c r="F24" s="275"/>
      <c r="G24" s="276" t="s">
        <v>198</v>
      </c>
      <c r="H24" s="272" t="s">
        <v>185</v>
      </c>
      <c r="I24" s="300"/>
      <c r="J24" s="300">
        <f t="shared" si="0"/>
        <v>0</v>
      </c>
      <c r="K24" s="300"/>
      <c r="L24" s="300">
        <f t="shared" si="2"/>
        <v>0</v>
      </c>
      <c r="M24" s="273"/>
      <c r="N24" s="132"/>
    </row>
    <row r="25" spans="1:14" ht="48.75" customHeight="1" thickBot="1">
      <c r="A25" s="269" t="s">
        <v>182</v>
      </c>
      <c r="B25" s="269" t="s">
        <v>199</v>
      </c>
      <c r="C25" s="269"/>
      <c r="D25" s="274"/>
      <c r="E25" s="275"/>
      <c r="F25" s="275"/>
      <c r="G25" s="276" t="s">
        <v>79</v>
      </c>
      <c r="H25" s="272" t="s">
        <v>200</v>
      </c>
      <c r="I25" s="300">
        <v>1.63</v>
      </c>
      <c r="J25" s="300">
        <f t="shared" si="0"/>
        <v>1.956</v>
      </c>
      <c r="K25" s="300">
        <f>I25+0.5%</f>
        <v>1.6349999999999998</v>
      </c>
      <c r="L25" s="300">
        <v>1.97</v>
      </c>
      <c r="M25" s="277"/>
      <c r="N25" s="132"/>
    </row>
    <row r="26" spans="1:14" ht="24" thickBot="1">
      <c r="A26" s="269" t="s">
        <v>186</v>
      </c>
      <c r="B26" s="269"/>
      <c r="C26" s="269"/>
      <c r="D26" s="274"/>
      <c r="E26" s="275"/>
      <c r="F26" s="275"/>
      <c r="G26" s="271" t="s">
        <v>201</v>
      </c>
      <c r="H26" s="272"/>
      <c r="I26" s="300"/>
      <c r="J26" s="300"/>
      <c r="K26" s="299"/>
      <c r="L26" s="299"/>
      <c r="M26" s="273"/>
      <c r="N26" s="132"/>
    </row>
    <row r="27" spans="1:14" ht="70.5" thickBot="1">
      <c r="A27" s="269" t="s">
        <v>186</v>
      </c>
      <c r="B27" s="269" t="s">
        <v>182</v>
      </c>
      <c r="C27" s="269"/>
      <c r="D27" s="274"/>
      <c r="E27" s="275"/>
      <c r="F27" s="275"/>
      <c r="G27" s="276" t="s">
        <v>202</v>
      </c>
      <c r="H27" s="272"/>
      <c r="I27" s="300"/>
      <c r="J27" s="300"/>
      <c r="K27" s="299"/>
      <c r="L27" s="299"/>
      <c r="M27" s="273"/>
      <c r="N27" s="132"/>
    </row>
    <row r="28" spans="1:14" ht="24" thickBot="1">
      <c r="A28" s="269" t="s">
        <v>186</v>
      </c>
      <c r="B28" s="269" t="s">
        <v>182</v>
      </c>
      <c r="C28" s="269" t="s">
        <v>182</v>
      </c>
      <c r="D28" s="274"/>
      <c r="E28" s="275"/>
      <c r="F28" s="275"/>
      <c r="G28" s="276" t="s">
        <v>59</v>
      </c>
      <c r="H28" s="272" t="s">
        <v>185</v>
      </c>
      <c r="I28" s="300">
        <v>4.18</v>
      </c>
      <c r="J28" s="300">
        <f t="shared" si="0"/>
        <v>5.016</v>
      </c>
      <c r="K28" s="300">
        <v>4.2</v>
      </c>
      <c r="L28" s="300">
        <f t="shared" ref="L28:L29" si="3">K28+(K28*20%)</f>
        <v>5.04</v>
      </c>
      <c r="M28" s="277"/>
      <c r="N28" s="132"/>
    </row>
    <row r="29" spans="1:14" ht="47.25" thickBot="1">
      <c r="A29" s="269" t="s">
        <v>186</v>
      </c>
      <c r="B29" s="269" t="s">
        <v>182</v>
      </c>
      <c r="C29" s="269" t="s">
        <v>186</v>
      </c>
      <c r="D29" s="274"/>
      <c r="E29" s="275"/>
      <c r="F29" s="275"/>
      <c r="G29" s="276" t="s">
        <v>187</v>
      </c>
      <c r="H29" s="272" t="s">
        <v>191</v>
      </c>
      <c r="I29" s="300">
        <v>4</v>
      </c>
      <c r="J29" s="300">
        <f t="shared" si="0"/>
        <v>4.8</v>
      </c>
      <c r="K29" s="300">
        <v>4.0199999999999996</v>
      </c>
      <c r="L29" s="300">
        <f t="shared" si="3"/>
        <v>4.8239999999999998</v>
      </c>
      <c r="M29" s="277"/>
      <c r="N29" s="132"/>
    </row>
    <row r="30" spans="1:14" ht="47.25" thickBot="1">
      <c r="A30" s="269" t="s">
        <v>186</v>
      </c>
      <c r="B30" s="269" t="s">
        <v>182</v>
      </c>
      <c r="C30" s="269" t="s">
        <v>189</v>
      </c>
      <c r="D30" s="274"/>
      <c r="E30" s="275"/>
      <c r="F30" s="275"/>
      <c r="G30" s="276" t="s">
        <v>190</v>
      </c>
      <c r="H30" s="272" t="s">
        <v>191</v>
      </c>
      <c r="I30" s="300">
        <v>2.2799999999999998</v>
      </c>
      <c r="J30" s="300">
        <f t="shared" si="0"/>
        <v>2.7359999999999998</v>
      </c>
      <c r="K30" s="300">
        <f>I30+0.5%</f>
        <v>2.2849999999999997</v>
      </c>
      <c r="L30" s="300">
        <v>2.75</v>
      </c>
      <c r="M30" s="277"/>
      <c r="N30" s="132"/>
    </row>
    <row r="31" spans="1:14" ht="47.25" thickBot="1">
      <c r="A31" s="269" t="s">
        <v>186</v>
      </c>
      <c r="B31" s="269" t="s">
        <v>186</v>
      </c>
      <c r="C31" s="269"/>
      <c r="D31" s="274"/>
      <c r="E31" s="275"/>
      <c r="F31" s="275"/>
      <c r="G31" s="276" t="s">
        <v>203</v>
      </c>
      <c r="H31" s="272"/>
      <c r="I31" s="300"/>
      <c r="J31" s="300"/>
      <c r="K31" s="299"/>
      <c r="L31" s="299"/>
      <c r="M31" s="277"/>
      <c r="N31" s="132"/>
    </row>
    <row r="32" spans="1:14" ht="24" thickBot="1">
      <c r="A32" s="269" t="s">
        <v>186</v>
      </c>
      <c r="B32" s="269" t="s">
        <v>186</v>
      </c>
      <c r="C32" s="269" t="s">
        <v>182</v>
      </c>
      <c r="D32" s="274"/>
      <c r="E32" s="275"/>
      <c r="F32" s="275"/>
      <c r="G32" s="276" t="s">
        <v>59</v>
      </c>
      <c r="H32" s="272" t="s">
        <v>185</v>
      </c>
      <c r="I32" s="300">
        <v>3.05</v>
      </c>
      <c r="J32" s="300">
        <f t="shared" si="0"/>
        <v>3.6599999999999997</v>
      </c>
      <c r="K32" s="300">
        <v>3.07</v>
      </c>
      <c r="L32" s="300">
        <f t="shared" ref="L32:L35" si="4">K32+(K32*20%)</f>
        <v>3.6839999999999997</v>
      </c>
      <c r="M32" s="277"/>
      <c r="N32" s="132"/>
    </row>
    <row r="33" spans="1:14" ht="47.25" thickBot="1">
      <c r="A33" s="269" t="s">
        <v>186</v>
      </c>
      <c r="B33" s="269" t="s">
        <v>186</v>
      </c>
      <c r="C33" s="269" t="s">
        <v>186</v>
      </c>
      <c r="D33" s="274"/>
      <c r="E33" s="275"/>
      <c r="F33" s="275"/>
      <c r="G33" s="276" t="s">
        <v>187</v>
      </c>
      <c r="H33" s="272" t="s">
        <v>191</v>
      </c>
      <c r="I33" s="300">
        <v>2.74</v>
      </c>
      <c r="J33" s="300">
        <f>I33+(I33*20%)</f>
        <v>3.2880000000000003</v>
      </c>
      <c r="K33" s="300">
        <f>I33+0.5%</f>
        <v>2.7450000000000001</v>
      </c>
      <c r="L33" s="300">
        <v>3.3</v>
      </c>
      <c r="M33" s="277"/>
      <c r="N33" s="132"/>
    </row>
    <row r="34" spans="1:14" ht="62.25" customHeight="1" thickBot="1">
      <c r="A34" s="269" t="s">
        <v>186</v>
      </c>
      <c r="B34" s="269" t="s">
        <v>186</v>
      </c>
      <c r="C34" s="269" t="s">
        <v>189</v>
      </c>
      <c r="D34" s="274"/>
      <c r="E34" s="275"/>
      <c r="F34" s="275"/>
      <c r="G34" s="276" t="s">
        <v>190</v>
      </c>
      <c r="H34" s="272" t="s">
        <v>191</v>
      </c>
      <c r="I34" s="300">
        <v>1.81</v>
      </c>
      <c r="J34" s="300">
        <f t="shared" si="0"/>
        <v>2.1720000000000002</v>
      </c>
      <c r="K34" s="300">
        <f>I34+0.5%</f>
        <v>1.8149999999999999</v>
      </c>
      <c r="L34" s="300">
        <f t="shared" si="4"/>
        <v>2.1779999999999999</v>
      </c>
      <c r="M34" s="277"/>
      <c r="N34" s="132"/>
    </row>
    <row r="35" spans="1:14" ht="47.25" hidden="1" thickBot="1">
      <c r="A35" s="269" t="s">
        <v>186</v>
      </c>
      <c r="B35" s="269" t="s">
        <v>189</v>
      </c>
      <c r="C35" s="269"/>
      <c r="D35" s="274"/>
      <c r="E35" s="275"/>
      <c r="F35" s="275"/>
      <c r="G35" s="276" t="s">
        <v>204</v>
      </c>
      <c r="H35" s="272" t="s">
        <v>185</v>
      </c>
      <c r="I35" s="300"/>
      <c r="J35" s="300">
        <f t="shared" si="0"/>
        <v>0</v>
      </c>
      <c r="K35" s="299"/>
      <c r="L35" s="299">
        <f t="shared" si="4"/>
        <v>0</v>
      </c>
      <c r="M35" s="273"/>
      <c r="N35" s="132"/>
    </row>
    <row r="36" spans="1:14" ht="93.75" thickBot="1">
      <c r="A36" s="269" t="s">
        <v>186</v>
      </c>
      <c r="B36" s="269" t="s">
        <v>194</v>
      </c>
      <c r="C36" s="269"/>
      <c r="D36" s="274"/>
      <c r="E36" s="275"/>
      <c r="F36" s="275"/>
      <c r="G36" s="276" t="s">
        <v>172</v>
      </c>
      <c r="H36" s="272"/>
      <c r="I36" s="300"/>
      <c r="J36" s="300"/>
      <c r="K36" s="299"/>
      <c r="L36" s="299"/>
      <c r="M36" s="273"/>
      <c r="N36" s="132"/>
    </row>
    <row r="37" spans="1:14" ht="24" thickBot="1">
      <c r="A37" s="269" t="s">
        <v>186</v>
      </c>
      <c r="B37" s="269" t="s">
        <v>194</v>
      </c>
      <c r="C37" s="269" t="s">
        <v>182</v>
      </c>
      <c r="D37" s="274"/>
      <c r="E37" s="275"/>
      <c r="F37" s="275"/>
      <c r="G37" s="276" t="s">
        <v>59</v>
      </c>
      <c r="H37" s="272" t="s">
        <v>185</v>
      </c>
      <c r="I37" s="300">
        <v>17.96</v>
      </c>
      <c r="J37" s="300">
        <f t="shared" si="0"/>
        <v>21.552</v>
      </c>
      <c r="K37" s="300">
        <v>18.05</v>
      </c>
      <c r="L37" s="300">
        <f t="shared" ref="L37:L39" si="5">K37+(K37*20%)</f>
        <v>21.66</v>
      </c>
      <c r="M37" s="277"/>
      <c r="N37" s="132"/>
    </row>
    <row r="38" spans="1:14" ht="47.25" thickBot="1">
      <c r="A38" s="269" t="s">
        <v>186</v>
      </c>
      <c r="B38" s="269" t="s">
        <v>194</v>
      </c>
      <c r="C38" s="269" t="s">
        <v>186</v>
      </c>
      <c r="D38" s="274"/>
      <c r="E38" s="275"/>
      <c r="F38" s="275"/>
      <c r="G38" s="276" t="s">
        <v>187</v>
      </c>
      <c r="H38" s="272" t="s">
        <v>191</v>
      </c>
      <c r="I38" s="300">
        <v>6.18</v>
      </c>
      <c r="J38" s="300">
        <f t="shared" si="0"/>
        <v>7.4159999999999995</v>
      </c>
      <c r="K38" s="300">
        <v>6.21</v>
      </c>
      <c r="L38" s="300">
        <f t="shared" si="5"/>
        <v>7.452</v>
      </c>
      <c r="M38" s="277"/>
      <c r="N38" s="132"/>
    </row>
    <row r="39" spans="1:14" ht="47.25" thickBot="1">
      <c r="A39" s="269" t="s">
        <v>186</v>
      </c>
      <c r="B39" s="269" t="s">
        <v>194</v>
      </c>
      <c r="C39" s="269" t="s">
        <v>189</v>
      </c>
      <c r="D39" s="274"/>
      <c r="E39" s="275"/>
      <c r="F39" s="275"/>
      <c r="G39" s="276" t="s">
        <v>190</v>
      </c>
      <c r="H39" s="272" t="s">
        <v>191</v>
      </c>
      <c r="I39" s="300">
        <v>3.42</v>
      </c>
      <c r="J39" s="300">
        <f t="shared" si="0"/>
        <v>4.1040000000000001</v>
      </c>
      <c r="K39" s="300">
        <v>3.44</v>
      </c>
      <c r="L39" s="300">
        <f t="shared" si="5"/>
        <v>4.1280000000000001</v>
      </c>
      <c r="M39" s="277"/>
      <c r="N39" s="132"/>
    </row>
    <row r="40" spans="1:14" ht="70.5" thickBot="1">
      <c r="A40" s="269" t="s">
        <v>186</v>
      </c>
      <c r="B40" s="269" t="s">
        <v>196</v>
      </c>
      <c r="C40" s="269"/>
      <c r="D40" s="274"/>
      <c r="E40" s="275"/>
      <c r="F40" s="275"/>
      <c r="G40" s="276" t="s">
        <v>205</v>
      </c>
      <c r="H40" s="272"/>
      <c r="I40" s="300"/>
      <c r="J40" s="300"/>
      <c r="K40" s="299"/>
      <c r="L40" s="299"/>
      <c r="M40" s="273"/>
      <c r="N40" s="132"/>
    </row>
    <row r="41" spans="1:14" ht="24" thickBot="1">
      <c r="A41" s="269" t="s">
        <v>186</v>
      </c>
      <c r="B41" s="269" t="s">
        <v>196</v>
      </c>
      <c r="C41" s="269" t="s">
        <v>182</v>
      </c>
      <c r="D41" s="274"/>
      <c r="E41" s="275"/>
      <c r="F41" s="275"/>
      <c r="G41" s="276" t="s">
        <v>59</v>
      </c>
      <c r="H41" s="272" t="s">
        <v>185</v>
      </c>
      <c r="I41" s="300">
        <v>2.85</v>
      </c>
      <c r="J41" s="300">
        <f t="shared" si="0"/>
        <v>3.42</v>
      </c>
      <c r="K41" s="300">
        <f>I41+0.5%</f>
        <v>2.855</v>
      </c>
      <c r="L41" s="300">
        <v>3.43</v>
      </c>
      <c r="M41" s="277"/>
      <c r="N41" s="132"/>
    </row>
    <row r="42" spans="1:14" ht="47.25" thickBot="1">
      <c r="A42" s="269" t="s">
        <v>186</v>
      </c>
      <c r="B42" s="269" t="s">
        <v>196</v>
      </c>
      <c r="C42" s="269" t="s">
        <v>186</v>
      </c>
      <c r="D42" s="274"/>
      <c r="E42" s="275"/>
      <c r="F42" s="275"/>
      <c r="G42" s="276" t="s">
        <v>187</v>
      </c>
      <c r="H42" s="272" t="s">
        <v>191</v>
      </c>
      <c r="I42" s="300">
        <v>2.46</v>
      </c>
      <c r="J42" s="300">
        <f t="shared" si="0"/>
        <v>2.952</v>
      </c>
      <c r="K42" s="300">
        <f>I42+0.5%</f>
        <v>2.4649999999999999</v>
      </c>
      <c r="L42" s="300">
        <f t="shared" ref="L42:L54" si="6">K42+(K42*20%)</f>
        <v>2.9579999999999997</v>
      </c>
      <c r="M42" s="277"/>
      <c r="N42" s="132"/>
    </row>
    <row r="43" spans="1:14" ht="53.25" customHeight="1" thickBot="1">
      <c r="A43" s="269" t="s">
        <v>186</v>
      </c>
      <c r="B43" s="269" t="s">
        <v>196</v>
      </c>
      <c r="C43" s="269" t="s">
        <v>189</v>
      </c>
      <c r="D43" s="274"/>
      <c r="E43" s="275"/>
      <c r="F43" s="275"/>
      <c r="G43" s="276" t="s">
        <v>190</v>
      </c>
      <c r="H43" s="272" t="s">
        <v>191</v>
      </c>
      <c r="I43" s="300">
        <v>1.99</v>
      </c>
      <c r="J43" s="300">
        <f t="shared" si="0"/>
        <v>2.3879999999999999</v>
      </c>
      <c r="K43" s="300">
        <f>I43+0.5%</f>
        <v>1.9949999999999999</v>
      </c>
      <c r="L43" s="300">
        <v>2.4</v>
      </c>
      <c r="M43" s="277"/>
      <c r="N43" s="132"/>
    </row>
    <row r="44" spans="1:14" ht="54.75" customHeight="1" thickBot="1">
      <c r="A44" s="269" t="s">
        <v>186</v>
      </c>
      <c r="B44" s="269" t="s">
        <v>197</v>
      </c>
      <c r="C44" s="269"/>
      <c r="D44" s="274"/>
      <c r="E44" s="275"/>
      <c r="F44" s="275"/>
      <c r="G44" s="276" t="s">
        <v>206</v>
      </c>
      <c r="H44" s="272" t="s">
        <v>195</v>
      </c>
      <c r="I44" s="300">
        <v>7.72</v>
      </c>
      <c r="J44" s="300">
        <f t="shared" si="0"/>
        <v>9.2639999999999993</v>
      </c>
      <c r="K44" s="300">
        <v>7.76</v>
      </c>
      <c r="L44" s="300">
        <f t="shared" si="6"/>
        <v>9.3119999999999994</v>
      </c>
      <c r="M44" s="277"/>
      <c r="N44" s="132"/>
    </row>
    <row r="45" spans="1:14" ht="55.5" customHeight="1" thickBot="1">
      <c r="A45" s="269" t="s">
        <v>186</v>
      </c>
      <c r="B45" s="269" t="s">
        <v>199</v>
      </c>
      <c r="C45" s="269"/>
      <c r="D45" s="274"/>
      <c r="E45" s="275"/>
      <c r="F45" s="275"/>
      <c r="G45" s="276" t="s">
        <v>207</v>
      </c>
      <c r="H45" s="272" t="s">
        <v>191</v>
      </c>
      <c r="I45" s="300">
        <v>9.27</v>
      </c>
      <c r="J45" s="300">
        <f t="shared" si="0"/>
        <v>11.123999999999999</v>
      </c>
      <c r="K45" s="300">
        <v>9.32</v>
      </c>
      <c r="L45" s="300">
        <f t="shared" si="6"/>
        <v>11.184000000000001</v>
      </c>
      <c r="M45" s="277"/>
      <c r="N45" s="132"/>
    </row>
    <row r="46" spans="1:14" ht="51.75" customHeight="1" thickBot="1">
      <c r="A46" s="269" t="s">
        <v>186</v>
      </c>
      <c r="B46" s="269" t="s">
        <v>208</v>
      </c>
      <c r="C46" s="269"/>
      <c r="D46" s="274"/>
      <c r="E46" s="275"/>
      <c r="F46" s="275"/>
      <c r="G46" s="276" t="s">
        <v>209</v>
      </c>
      <c r="H46" s="272" t="s">
        <v>185</v>
      </c>
      <c r="I46" s="300">
        <v>0.21</v>
      </c>
      <c r="J46" s="300">
        <f t="shared" si="0"/>
        <v>0.252</v>
      </c>
      <c r="K46" s="300">
        <v>0.21</v>
      </c>
      <c r="L46" s="300">
        <f t="shared" si="6"/>
        <v>0.252</v>
      </c>
      <c r="M46" s="277"/>
      <c r="N46" s="132"/>
    </row>
    <row r="47" spans="1:14" ht="50.25" customHeight="1" thickBot="1">
      <c r="A47" s="269" t="s">
        <v>186</v>
      </c>
      <c r="B47" s="269" t="s">
        <v>210</v>
      </c>
      <c r="C47" s="269"/>
      <c r="D47" s="274"/>
      <c r="E47" s="275"/>
      <c r="F47" s="275"/>
      <c r="G47" s="276" t="s">
        <v>211</v>
      </c>
      <c r="H47" s="272" t="s">
        <v>185</v>
      </c>
      <c r="I47" s="300">
        <v>1.1399999999999999</v>
      </c>
      <c r="J47" s="300">
        <f>I47+(I47*20%)</f>
        <v>1.3679999999999999</v>
      </c>
      <c r="K47" s="300">
        <f>I47+0.5%</f>
        <v>1.1449999999999998</v>
      </c>
      <c r="L47" s="300">
        <v>1.38</v>
      </c>
      <c r="M47" s="277"/>
      <c r="N47" s="132"/>
    </row>
    <row r="48" spans="1:14" ht="56.25" customHeight="1" thickBot="1">
      <c r="A48" s="269" t="s">
        <v>186</v>
      </c>
      <c r="B48" s="269" t="s">
        <v>212</v>
      </c>
      <c r="C48" s="269"/>
      <c r="D48" s="274"/>
      <c r="E48" s="275"/>
      <c r="F48" s="275"/>
      <c r="G48" s="276" t="s">
        <v>213</v>
      </c>
      <c r="H48" s="272" t="s">
        <v>214</v>
      </c>
      <c r="I48" s="300">
        <v>38.83</v>
      </c>
      <c r="J48" s="300">
        <f t="shared" si="0"/>
        <v>46.595999999999997</v>
      </c>
      <c r="K48" s="300">
        <v>39.020000000000003</v>
      </c>
      <c r="L48" s="300">
        <f t="shared" si="6"/>
        <v>46.824000000000005</v>
      </c>
      <c r="M48" s="277"/>
      <c r="N48" s="132"/>
    </row>
    <row r="49" spans="1:14" ht="1.5" hidden="1" customHeight="1">
      <c r="A49" s="269" t="s">
        <v>186</v>
      </c>
      <c r="B49" s="269" t="s">
        <v>215</v>
      </c>
      <c r="C49" s="269"/>
      <c r="D49" s="274"/>
      <c r="E49" s="275"/>
      <c r="F49" s="275"/>
      <c r="G49" s="276" t="s">
        <v>216</v>
      </c>
      <c r="H49" s="272" t="s">
        <v>214</v>
      </c>
      <c r="I49" s="299"/>
      <c r="J49" s="299">
        <f t="shared" si="0"/>
        <v>0</v>
      </c>
      <c r="K49" s="300"/>
      <c r="L49" s="300">
        <f t="shared" si="6"/>
        <v>0</v>
      </c>
      <c r="M49" s="273"/>
      <c r="N49" s="132"/>
    </row>
    <row r="50" spans="1:14" ht="47.25" customHeight="1" thickBot="1">
      <c r="A50" s="269" t="s">
        <v>186</v>
      </c>
      <c r="B50" s="269" t="s">
        <v>217</v>
      </c>
      <c r="C50" s="269"/>
      <c r="D50" s="274"/>
      <c r="E50" s="275"/>
      <c r="F50" s="275"/>
      <c r="G50" s="276" t="s">
        <v>112</v>
      </c>
      <c r="H50" s="272" t="s">
        <v>185</v>
      </c>
      <c r="I50" s="300">
        <v>11.58</v>
      </c>
      <c r="J50" s="300">
        <f t="shared" si="0"/>
        <v>13.896000000000001</v>
      </c>
      <c r="K50" s="300">
        <v>11.64</v>
      </c>
      <c r="L50" s="300">
        <f t="shared" si="6"/>
        <v>13.968</v>
      </c>
      <c r="M50" s="277"/>
      <c r="N50" s="132"/>
    </row>
    <row r="51" spans="1:14" ht="6" hidden="1" customHeight="1">
      <c r="A51" s="269" t="s">
        <v>186</v>
      </c>
      <c r="B51" s="269" t="s">
        <v>218</v>
      </c>
      <c r="C51" s="269"/>
      <c r="D51" s="274"/>
      <c r="E51" s="275"/>
      <c r="F51" s="275"/>
      <c r="G51" s="276" t="s">
        <v>219</v>
      </c>
      <c r="H51" s="272"/>
      <c r="I51" s="299"/>
      <c r="J51" s="299">
        <f t="shared" si="0"/>
        <v>0</v>
      </c>
      <c r="K51" s="299"/>
      <c r="L51" s="299">
        <f t="shared" si="6"/>
        <v>0</v>
      </c>
      <c r="M51" s="273"/>
      <c r="N51" s="132"/>
    </row>
    <row r="52" spans="1:14" ht="15" hidden="1" customHeight="1">
      <c r="A52" s="269" t="s">
        <v>186</v>
      </c>
      <c r="B52" s="269" t="s">
        <v>218</v>
      </c>
      <c r="C52" s="269" t="s">
        <v>182</v>
      </c>
      <c r="D52" s="274"/>
      <c r="E52" s="275"/>
      <c r="F52" s="275"/>
      <c r="G52" s="276" t="s">
        <v>220</v>
      </c>
      <c r="H52" s="272" t="s">
        <v>221</v>
      </c>
      <c r="I52" s="299"/>
      <c r="J52" s="299">
        <f t="shared" si="0"/>
        <v>0</v>
      </c>
      <c r="K52" s="299"/>
      <c r="L52" s="299">
        <f t="shared" si="6"/>
        <v>0</v>
      </c>
      <c r="M52" s="273"/>
      <c r="N52" s="132"/>
    </row>
    <row r="53" spans="1:14" ht="15" hidden="1" customHeight="1">
      <c r="A53" s="269" t="s">
        <v>186</v>
      </c>
      <c r="B53" s="269" t="s">
        <v>218</v>
      </c>
      <c r="C53" s="269" t="s">
        <v>186</v>
      </c>
      <c r="D53" s="274"/>
      <c r="E53" s="275"/>
      <c r="F53" s="275"/>
      <c r="G53" s="276" t="s">
        <v>222</v>
      </c>
      <c r="H53" s="272" t="s">
        <v>221</v>
      </c>
      <c r="I53" s="299"/>
      <c r="J53" s="299">
        <f t="shared" si="0"/>
        <v>0</v>
      </c>
      <c r="K53" s="299"/>
      <c r="L53" s="299">
        <f t="shared" si="6"/>
        <v>0</v>
      </c>
      <c r="M53" s="273"/>
      <c r="N53" s="132"/>
    </row>
    <row r="54" spans="1:14" ht="22.5" hidden="1" customHeight="1">
      <c r="A54" s="269" t="s">
        <v>189</v>
      </c>
      <c r="B54" s="269"/>
      <c r="C54" s="269"/>
      <c r="D54" s="274"/>
      <c r="E54" s="275"/>
      <c r="F54" s="275"/>
      <c r="G54" s="271" t="s">
        <v>223</v>
      </c>
      <c r="H54" s="272"/>
      <c r="I54" s="299"/>
      <c r="J54" s="299">
        <f t="shared" si="0"/>
        <v>0</v>
      </c>
      <c r="K54" s="299"/>
      <c r="L54" s="299">
        <f t="shared" si="6"/>
        <v>0</v>
      </c>
      <c r="M54" s="273"/>
      <c r="N54" s="132"/>
    </row>
    <row r="55" spans="1:14" ht="47.25" thickBot="1">
      <c r="A55" s="269" t="s">
        <v>189</v>
      </c>
      <c r="B55" s="269" t="s">
        <v>182</v>
      </c>
      <c r="C55" s="269"/>
      <c r="D55" s="274"/>
      <c r="E55" s="275"/>
      <c r="F55" s="275"/>
      <c r="G55" s="276" t="s">
        <v>224</v>
      </c>
      <c r="H55" s="272"/>
      <c r="I55" s="299"/>
      <c r="J55" s="299"/>
      <c r="K55" s="299"/>
      <c r="L55" s="299"/>
      <c r="M55" s="273"/>
      <c r="N55" s="132"/>
    </row>
    <row r="56" spans="1:14" ht="24" thickBot="1">
      <c r="A56" s="269" t="s">
        <v>189</v>
      </c>
      <c r="B56" s="269" t="s">
        <v>182</v>
      </c>
      <c r="C56" s="269" t="s">
        <v>182</v>
      </c>
      <c r="D56" s="274"/>
      <c r="E56" s="275"/>
      <c r="F56" s="275"/>
      <c r="G56" s="276" t="s">
        <v>225</v>
      </c>
      <c r="H56" s="272" t="s">
        <v>185</v>
      </c>
      <c r="I56" s="300">
        <v>4.4800000000000004</v>
      </c>
      <c r="J56" s="300">
        <f>I56+(I56*20%)</f>
        <v>5.3760000000000003</v>
      </c>
      <c r="K56" s="300">
        <v>4.5</v>
      </c>
      <c r="L56" s="300">
        <f t="shared" ref="L56:L61" si="7">K56+(K56*20%)</f>
        <v>5.4</v>
      </c>
      <c r="M56" s="277"/>
      <c r="N56" s="132"/>
    </row>
    <row r="57" spans="1:14" ht="24" thickBot="1">
      <c r="A57" s="269" t="s">
        <v>189</v>
      </c>
      <c r="B57" s="269" t="s">
        <v>182</v>
      </c>
      <c r="C57" s="269" t="s">
        <v>186</v>
      </c>
      <c r="D57" s="274"/>
      <c r="E57" s="275"/>
      <c r="F57" s="275"/>
      <c r="G57" s="276" t="s">
        <v>226</v>
      </c>
      <c r="H57" s="272" t="s">
        <v>185</v>
      </c>
      <c r="I57" s="300">
        <v>7.33</v>
      </c>
      <c r="J57" s="300">
        <f t="shared" si="0"/>
        <v>8.7959999999999994</v>
      </c>
      <c r="K57" s="300">
        <v>7.37</v>
      </c>
      <c r="L57" s="300">
        <f t="shared" si="7"/>
        <v>8.8440000000000012</v>
      </c>
      <c r="M57" s="277"/>
      <c r="N57" s="132"/>
    </row>
    <row r="58" spans="1:14" ht="47.25" thickBot="1">
      <c r="A58" s="269" t="s">
        <v>189</v>
      </c>
      <c r="B58" s="269" t="s">
        <v>182</v>
      </c>
      <c r="C58" s="269" t="s">
        <v>189</v>
      </c>
      <c r="D58" s="274"/>
      <c r="E58" s="275"/>
      <c r="F58" s="275"/>
      <c r="G58" s="276" t="s">
        <v>227</v>
      </c>
      <c r="H58" s="272" t="s">
        <v>185</v>
      </c>
      <c r="I58" s="300">
        <v>8.76</v>
      </c>
      <c r="J58" s="300">
        <f t="shared" si="0"/>
        <v>10.512</v>
      </c>
      <c r="K58" s="300">
        <v>8.8000000000000007</v>
      </c>
      <c r="L58" s="300">
        <f t="shared" si="7"/>
        <v>10.56</v>
      </c>
      <c r="M58" s="277"/>
      <c r="N58" s="132"/>
    </row>
    <row r="59" spans="1:14" ht="70.5" thickBot="1">
      <c r="A59" s="269" t="s">
        <v>189</v>
      </c>
      <c r="B59" s="269" t="s">
        <v>182</v>
      </c>
      <c r="C59" s="269" t="s">
        <v>194</v>
      </c>
      <c r="D59" s="274"/>
      <c r="E59" s="275"/>
      <c r="F59" s="275"/>
      <c r="G59" s="276" t="s">
        <v>228</v>
      </c>
      <c r="H59" s="272" t="s">
        <v>185</v>
      </c>
      <c r="I59" s="300">
        <v>11.41</v>
      </c>
      <c r="J59" s="300">
        <f t="shared" si="0"/>
        <v>13.692</v>
      </c>
      <c r="K59" s="300">
        <v>11.47</v>
      </c>
      <c r="L59" s="300">
        <f t="shared" si="7"/>
        <v>13.764000000000001</v>
      </c>
      <c r="M59" s="277"/>
      <c r="N59" s="132"/>
    </row>
    <row r="60" spans="1:14" ht="24" thickBot="1">
      <c r="A60" s="269" t="s">
        <v>189</v>
      </c>
      <c r="B60" s="269" t="s">
        <v>182</v>
      </c>
      <c r="C60" s="269" t="s">
        <v>196</v>
      </c>
      <c r="D60" s="274"/>
      <c r="E60" s="275"/>
      <c r="F60" s="275"/>
      <c r="G60" s="276" t="s">
        <v>229</v>
      </c>
      <c r="H60" s="272" t="s">
        <v>185</v>
      </c>
      <c r="I60" s="300">
        <v>8.76</v>
      </c>
      <c r="J60" s="300">
        <f t="shared" si="0"/>
        <v>10.512</v>
      </c>
      <c r="K60" s="300">
        <v>8.8000000000000007</v>
      </c>
      <c r="L60" s="300">
        <f t="shared" si="7"/>
        <v>10.56</v>
      </c>
      <c r="M60" s="277"/>
      <c r="N60" s="132"/>
    </row>
    <row r="61" spans="1:14" ht="24" thickBot="1">
      <c r="A61" s="269" t="s">
        <v>189</v>
      </c>
      <c r="B61" s="269" t="s">
        <v>182</v>
      </c>
      <c r="C61" s="269" t="s">
        <v>197</v>
      </c>
      <c r="D61" s="274"/>
      <c r="E61" s="275"/>
      <c r="F61" s="275"/>
      <c r="G61" s="276" t="s">
        <v>230</v>
      </c>
      <c r="H61" s="272" t="s">
        <v>185</v>
      </c>
      <c r="I61" s="300">
        <v>14.6</v>
      </c>
      <c r="J61" s="300">
        <f t="shared" si="0"/>
        <v>17.52</v>
      </c>
      <c r="K61" s="300">
        <v>14.67</v>
      </c>
      <c r="L61" s="300">
        <f t="shared" si="7"/>
        <v>17.603999999999999</v>
      </c>
      <c r="M61" s="277"/>
      <c r="N61" s="132"/>
    </row>
    <row r="62" spans="1:14" ht="117" thickBot="1">
      <c r="A62" s="269" t="s">
        <v>189</v>
      </c>
      <c r="B62" s="269" t="s">
        <v>186</v>
      </c>
      <c r="C62" s="269"/>
      <c r="D62" s="274"/>
      <c r="E62" s="275"/>
      <c r="F62" s="275"/>
      <c r="G62" s="276" t="s">
        <v>231</v>
      </c>
      <c r="H62" s="272"/>
      <c r="I62" s="299"/>
      <c r="J62" s="299"/>
      <c r="K62" s="299"/>
      <c r="L62" s="299"/>
      <c r="M62" s="273"/>
      <c r="N62" s="132"/>
    </row>
    <row r="63" spans="1:14" ht="24" thickBot="1">
      <c r="A63" s="269" t="s">
        <v>189</v>
      </c>
      <c r="B63" s="269" t="s">
        <v>186</v>
      </c>
      <c r="C63" s="269" t="s">
        <v>182</v>
      </c>
      <c r="D63" s="274"/>
      <c r="E63" s="275"/>
      <c r="F63" s="275"/>
      <c r="G63" s="276" t="s">
        <v>59</v>
      </c>
      <c r="H63" s="272" t="s">
        <v>185</v>
      </c>
      <c r="I63" s="300">
        <v>10.96</v>
      </c>
      <c r="J63" s="300">
        <f t="shared" si="0"/>
        <v>13.152000000000001</v>
      </c>
      <c r="K63" s="300">
        <v>11.01</v>
      </c>
      <c r="L63" s="300">
        <f t="shared" ref="L63:L67" si="8">K63+(K63*20%)</f>
        <v>13.212</v>
      </c>
      <c r="M63" s="277"/>
      <c r="N63" s="132"/>
    </row>
    <row r="64" spans="1:14" ht="24" thickBot="1">
      <c r="A64" s="269" t="s">
        <v>189</v>
      </c>
      <c r="B64" s="269" t="s">
        <v>186</v>
      </c>
      <c r="C64" s="269" t="s">
        <v>186</v>
      </c>
      <c r="D64" s="274"/>
      <c r="E64" s="275"/>
      <c r="F64" s="275"/>
      <c r="G64" s="276" t="s">
        <v>232</v>
      </c>
      <c r="H64" s="272" t="s">
        <v>185</v>
      </c>
      <c r="I64" s="300">
        <v>14.6</v>
      </c>
      <c r="J64" s="300">
        <f t="shared" si="0"/>
        <v>17.52</v>
      </c>
      <c r="K64" s="300">
        <v>14.67</v>
      </c>
      <c r="L64" s="300">
        <f t="shared" si="8"/>
        <v>17.603999999999999</v>
      </c>
      <c r="M64" s="277"/>
      <c r="N64" s="132"/>
    </row>
    <row r="65" spans="1:14" ht="50.25" customHeight="1" thickBot="1">
      <c r="A65" s="269" t="s">
        <v>189</v>
      </c>
      <c r="B65" s="269" t="s">
        <v>186</v>
      </c>
      <c r="C65" s="269" t="s">
        <v>189</v>
      </c>
      <c r="D65" s="274"/>
      <c r="E65" s="275"/>
      <c r="F65" s="275"/>
      <c r="G65" s="276" t="s">
        <v>233</v>
      </c>
      <c r="H65" s="272" t="s">
        <v>191</v>
      </c>
      <c r="I65" s="300">
        <v>6.27</v>
      </c>
      <c r="J65" s="300">
        <f t="shared" si="0"/>
        <v>7.5239999999999991</v>
      </c>
      <c r="K65" s="300">
        <v>6.3</v>
      </c>
      <c r="L65" s="300">
        <f t="shared" si="8"/>
        <v>7.56</v>
      </c>
      <c r="M65" s="277"/>
      <c r="N65" s="132"/>
    </row>
    <row r="66" spans="1:14" ht="51" customHeight="1" thickBot="1">
      <c r="A66" s="269" t="s">
        <v>189</v>
      </c>
      <c r="B66" s="269" t="s">
        <v>189</v>
      </c>
      <c r="C66" s="269"/>
      <c r="D66" s="274"/>
      <c r="E66" s="275"/>
      <c r="F66" s="275"/>
      <c r="G66" s="276" t="s">
        <v>234</v>
      </c>
      <c r="H66" s="272" t="s">
        <v>191</v>
      </c>
      <c r="I66" s="300">
        <v>5.85</v>
      </c>
      <c r="J66" s="300">
        <f t="shared" si="0"/>
        <v>7.02</v>
      </c>
      <c r="K66" s="300">
        <v>5.88</v>
      </c>
      <c r="L66" s="300">
        <f t="shared" si="8"/>
        <v>7.056</v>
      </c>
      <c r="M66" s="277"/>
      <c r="N66" s="132"/>
    </row>
    <row r="67" spans="1:14" ht="1.5" customHeight="1" thickBot="1">
      <c r="A67" s="269" t="s">
        <v>189</v>
      </c>
      <c r="B67" s="269" t="s">
        <v>194</v>
      </c>
      <c r="C67" s="269"/>
      <c r="D67" s="274"/>
      <c r="E67" s="275"/>
      <c r="F67" s="275"/>
      <c r="G67" s="276" t="s">
        <v>235</v>
      </c>
      <c r="H67" s="272" t="s">
        <v>236</v>
      </c>
      <c r="I67" s="299"/>
      <c r="J67" s="299">
        <f t="shared" si="0"/>
        <v>0</v>
      </c>
      <c r="K67" s="299"/>
      <c r="L67" s="299">
        <f t="shared" si="8"/>
        <v>0</v>
      </c>
      <c r="M67" s="273"/>
      <c r="N67" s="132"/>
    </row>
    <row r="68" spans="1:14" ht="52.5" customHeight="1" thickBot="1">
      <c r="A68" s="269" t="s">
        <v>189</v>
      </c>
      <c r="B68" s="269" t="s">
        <v>196</v>
      </c>
      <c r="C68" s="269"/>
      <c r="D68" s="274"/>
      <c r="E68" s="275"/>
      <c r="F68" s="275"/>
      <c r="G68" s="278" t="s">
        <v>237</v>
      </c>
      <c r="H68" s="278"/>
      <c r="I68" s="301"/>
      <c r="J68" s="299"/>
      <c r="K68" s="301"/>
      <c r="L68" s="299"/>
      <c r="M68" s="273"/>
      <c r="N68" s="132"/>
    </row>
    <row r="69" spans="1:14" ht="47.25" thickBot="1">
      <c r="A69" s="269" t="s">
        <v>189</v>
      </c>
      <c r="B69" s="269" t="s">
        <v>196</v>
      </c>
      <c r="C69" s="269" t="s">
        <v>182</v>
      </c>
      <c r="D69" s="274"/>
      <c r="E69" s="275"/>
      <c r="F69" s="275"/>
      <c r="G69" s="276" t="s">
        <v>238</v>
      </c>
      <c r="H69" s="272" t="s">
        <v>239</v>
      </c>
      <c r="I69" s="300">
        <v>13.26</v>
      </c>
      <c r="J69" s="300">
        <f t="shared" si="0"/>
        <v>15.911999999999999</v>
      </c>
      <c r="K69" s="300">
        <v>13.33</v>
      </c>
      <c r="L69" s="300">
        <f t="shared" ref="L69:L73" si="9">K69+(K69*20%)</f>
        <v>15.996</v>
      </c>
      <c r="M69" s="277"/>
      <c r="N69" s="132"/>
    </row>
    <row r="70" spans="1:14" ht="49.5" customHeight="1" thickBot="1">
      <c r="A70" s="269" t="s">
        <v>189</v>
      </c>
      <c r="B70" s="269" t="s">
        <v>196</v>
      </c>
      <c r="C70" s="269" t="s">
        <v>186</v>
      </c>
      <c r="D70" s="274"/>
      <c r="E70" s="275"/>
      <c r="F70" s="275"/>
      <c r="G70" s="276" t="s">
        <v>240</v>
      </c>
      <c r="H70" s="272" t="s">
        <v>241</v>
      </c>
      <c r="I70" s="300">
        <v>18.260000000000002</v>
      </c>
      <c r="J70" s="300">
        <f t="shared" si="0"/>
        <v>21.912000000000003</v>
      </c>
      <c r="K70" s="300">
        <v>18.350000000000001</v>
      </c>
      <c r="L70" s="300">
        <f t="shared" si="9"/>
        <v>22.020000000000003</v>
      </c>
      <c r="M70" s="277"/>
      <c r="N70" s="132"/>
    </row>
    <row r="71" spans="1:14" ht="1.5" hidden="1" customHeight="1">
      <c r="A71" s="269" t="s">
        <v>189</v>
      </c>
      <c r="B71" s="269" t="s">
        <v>197</v>
      </c>
      <c r="C71" s="269"/>
      <c r="D71" s="274"/>
      <c r="E71" s="275"/>
      <c r="F71" s="275"/>
      <c r="G71" s="276" t="s">
        <v>242</v>
      </c>
      <c r="H71" s="272"/>
      <c r="I71" s="299"/>
      <c r="J71" s="299">
        <f t="shared" si="0"/>
        <v>0</v>
      </c>
      <c r="K71" s="299"/>
      <c r="L71" s="299">
        <f t="shared" si="9"/>
        <v>0</v>
      </c>
      <c r="M71" s="273"/>
      <c r="N71" s="132"/>
    </row>
    <row r="72" spans="1:14" ht="15" hidden="1" customHeight="1">
      <c r="A72" s="269" t="s">
        <v>189</v>
      </c>
      <c r="B72" s="269" t="s">
        <v>197</v>
      </c>
      <c r="C72" s="269" t="s">
        <v>182</v>
      </c>
      <c r="D72" s="274"/>
      <c r="E72" s="275"/>
      <c r="F72" s="275"/>
      <c r="G72" s="276" t="s">
        <v>238</v>
      </c>
      <c r="H72" s="272" t="s">
        <v>239</v>
      </c>
      <c r="I72" s="299"/>
      <c r="J72" s="299">
        <f t="shared" si="0"/>
        <v>0</v>
      </c>
      <c r="K72" s="299"/>
      <c r="L72" s="299">
        <f t="shared" si="9"/>
        <v>0</v>
      </c>
      <c r="M72" s="277"/>
      <c r="N72" s="132"/>
    </row>
    <row r="73" spans="1:14" ht="15" hidden="1" customHeight="1">
      <c r="A73" s="269" t="s">
        <v>189</v>
      </c>
      <c r="B73" s="269" t="s">
        <v>197</v>
      </c>
      <c r="C73" s="269" t="s">
        <v>186</v>
      </c>
      <c r="D73" s="274"/>
      <c r="E73" s="275"/>
      <c r="F73" s="275"/>
      <c r="G73" s="276" t="s">
        <v>240</v>
      </c>
      <c r="H73" s="272" t="s">
        <v>241</v>
      </c>
      <c r="I73" s="299"/>
      <c r="J73" s="299">
        <f t="shared" si="0"/>
        <v>0</v>
      </c>
      <c r="K73" s="299"/>
      <c r="L73" s="299">
        <f t="shared" si="9"/>
        <v>0</v>
      </c>
      <c r="M73" s="273"/>
      <c r="N73" s="132"/>
    </row>
    <row r="74" spans="1:14" ht="72.75" customHeight="1" thickBot="1">
      <c r="A74" s="269" t="s">
        <v>189</v>
      </c>
      <c r="B74" s="269" t="s">
        <v>199</v>
      </c>
      <c r="C74" s="269"/>
      <c r="D74" s="274"/>
      <c r="E74" s="275"/>
      <c r="F74" s="275"/>
      <c r="G74" s="276" t="s">
        <v>243</v>
      </c>
      <c r="H74" s="272"/>
      <c r="I74" s="299"/>
      <c r="J74" s="299"/>
      <c r="K74" s="299"/>
      <c r="L74" s="299"/>
      <c r="M74" s="273"/>
      <c r="N74" s="132"/>
    </row>
    <row r="75" spans="1:14" ht="45.75" customHeight="1" thickBot="1">
      <c r="A75" s="269" t="s">
        <v>189</v>
      </c>
      <c r="B75" s="269" t="s">
        <v>199</v>
      </c>
      <c r="C75" s="269" t="s">
        <v>182</v>
      </c>
      <c r="D75" s="274"/>
      <c r="E75" s="275"/>
      <c r="F75" s="275"/>
      <c r="G75" s="276" t="s">
        <v>238</v>
      </c>
      <c r="H75" s="272" t="s">
        <v>239</v>
      </c>
      <c r="I75" s="300">
        <v>10.43</v>
      </c>
      <c r="J75" s="300">
        <f t="shared" si="0"/>
        <v>12.516</v>
      </c>
      <c r="K75" s="300">
        <v>10.48</v>
      </c>
      <c r="L75" s="300">
        <f t="shared" ref="L75:L78" si="10">K75+(K75*20%)</f>
        <v>12.576000000000001</v>
      </c>
      <c r="M75" s="277"/>
      <c r="N75" s="132"/>
    </row>
    <row r="76" spans="1:14" ht="54.75" customHeight="1" thickBot="1">
      <c r="A76" s="269" t="s">
        <v>189</v>
      </c>
      <c r="B76" s="269" t="s">
        <v>199</v>
      </c>
      <c r="C76" s="269" t="s">
        <v>186</v>
      </c>
      <c r="D76" s="274"/>
      <c r="E76" s="275"/>
      <c r="F76" s="275"/>
      <c r="G76" s="276" t="s">
        <v>240</v>
      </c>
      <c r="H76" s="272" t="s">
        <v>241</v>
      </c>
      <c r="I76" s="300">
        <v>15.66</v>
      </c>
      <c r="J76" s="300">
        <f t="shared" si="0"/>
        <v>18.792000000000002</v>
      </c>
      <c r="K76" s="300">
        <v>15.74</v>
      </c>
      <c r="L76" s="300">
        <f t="shared" si="10"/>
        <v>18.888000000000002</v>
      </c>
      <c r="M76" s="277"/>
      <c r="N76" s="132"/>
    </row>
    <row r="77" spans="1:14" ht="31.5" customHeight="1" thickBot="1">
      <c r="A77" s="269" t="s">
        <v>189</v>
      </c>
      <c r="B77" s="269" t="s">
        <v>208</v>
      </c>
      <c r="C77" s="269"/>
      <c r="D77" s="274"/>
      <c r="E77" s="275"/>
      <c r="F77" s="275"/>
      <c r="G77" s="276" t="s">
        <v>162</v>
      </c>
      <c r="H77" s="272" t="s">
        <v>185</v>
      </c>
      <c r="I77" s="300">
        <v>0.4</v>
      </c>
      <c r="J77" s="300">
        <f t="shared" si="0"/>
        <v>0.48000000000000004</v>
      </c>
      <c r="K77" s="300">
        <v>0.4</v>
      </c>
      <c r="L77" s="300">
        <f>K77+(K77*20%)</f>
        <v>0.48000000000000004</v>
      </c>
      <c r="M77" s="277"/>
      <c r="N77" s="132"/>
    </row>
    <row r="78" spans="1:14" ht="24" thickBot="1">
      <c r="A78" s="269" t="s">
        <v>189</v>
      </c>
      <c r="B78" s="269" t="s">
        <v>210</v>
      </c>
      <c r="C78" s="269"/>
      <c r="D78" s="274"/>
      <c r="E78" s="275"/>
      <c r="F78" s="275"/>
      <c r="G78" s="276" t="s">
        <v>155</v>
      </c>
      <c r="H78" s="272" t="s">
        <v>185</v>
      </c>
      <c r="I78" s="300">
        <v>8.76</v>
      </c>
      <c r="J78" s="300">
        <f t="shared" si="0"/>
        <v>10.512</v>
      </c>
      <c r="K78" s="300">
        <v>8.8000000000000007</v>
      </c>
      <c r="L78" s="300">
        <f t="shared" si="10"/>
        <v>10.56</v>
      </c>
      <c r="M78" s="277"/>
      <c r="N78" s="132"/>
    </row>
    <row r="79" spans="1:14" ht="0.75" customHeight="1">
      <c r="A79" s="279" t="s">
        <v>189</v>
      </c>
      <c r="B79" s="279" t="s">
        <v>212</v>
      </c>
      <c r="C79" s="279"/>
      <c r="D79" s="280"/>
      <c r="E79" s="281"/>
      <c r="F79" s="281"/>
      <c r="G79" s="282" t="s">
        <v>244</v>
      </c>
      <c r="H79" s="283" t="s">
        <v>185</v>
      </c>
      <c r="I79" s="284"/>
      <c r="J79" s="284"/>
      <c r="K79" s="285"/>
      <c r="L79" s="285"/>
      <c r="M79" s="273"/>
      <c r="N79" s="132"/>
    </row>
    <row r="80" spans="1:14" ht="12.75" customHeight="1">
      <c r="A80" s="286"/>
      <c r="B80" s="287"/>
      <c r="C80" s="287"/>
      <c r="D80" s="288"/>
      <c r="E80" s="288"/>
      <c r="F80" s="288"/>
      <c r="G80" s="289"/>
      <c r="H80" s="290"/>
      <c r="I80" s="268"/>
      <c r="J80" s="268"/>
      <c r="K80" s="268"/>
      <c r="L80" s="268"/>
      <c r="M80" s="273"/>
      <c r="N80" s="132"/>
    </row>
    <row r="81" spans="1:14" ht="8.25" customHeight="1">
      <c r="A81" s="291"/>
      <c r="B81" s="291"/>
      <c r="C81" s="292"/>
      <c r="D81" s="293"/>
      <c r="E81" s="293"/>
      <c r="F81" s="293"/>
      <c r="G81" s="294"/>
      <c r="H81" s="295"/>
      <c r="I81" s="296"/>
      <c r="J81" s="296"/>
      <c r="K81" s="268"/>
      <c r="L81" s="268"/>
      <c r="M81" s="273"/>
      <c r="N81" s="132"/>
    </row>
    <row r="82" spans="1:14" ht="42" customHeight="1">
      <c r="A82" s="308" t="s">
        <v>398</v>
      </c>
      <c r="B82" s="308"/>
      <c r="C82" s="308"/>
      <c r="D82" s="308"/>
      <c r="E82" s="308"/>
      <c r="F82" s="308"/>
      <c r="G82" s="308"/>
      <c r="H82" s="308"/>
      <c r="I82" s="308"/>
      <c r="J82" s="308"/>
      <c r="K82" s="308"/>
      <c r="L82" s="308"/>
      <c r="M82" s="308"/>
      <c r="N82" s="131"/>
    </row>
    <row r="83" spans="1:14" ht="9.75" customHeight="1">
      <c r="A83" s="297"/>
      <c r="B83" s="297"/>
      <c r="C83" s="297"/>
      <c r="D83" s="297"/>
      <c r="E83" s="297"/>
      <c r="F83" s="297"/>
      <c r="G83" s="297"/>
      <c r="H83" s="298"/>
      <c r="I83" s="298"/>
      <c r="J83" s="298"/>
      <c r="K83" s="298"/>
      <c r="L83" s="298"/>
      <c r="M83" s="298"/>
      <c r="N83" s="131"/>
    </row>
    <row r="84" spans="1:14" ht="22.5" customHeight="1">
      <c r="A84" s="306" t="s">
        <v>401</v>
      </c>
      <c r="B84" s="306"/>
      <c r="C84" s="306"/>
      <c r="D84" s="306"/>
      <c r="E84" s="306"/>
      <c r="F84" s="306"/>
      <c r="G84" s="306"/>
      <c r="H84" s="141"/>
      <c r="I84" s="145"/>
      <c r="J84" s="146"/>
      <c r="K84" s="307" t="s">
        <v>402</v>
      </c>
      <c r="L84" s="307"/>
      <c r="M84" s="307"/>
      <c r="N84" s="307"/>
    </row>
    <row r="85" spans="1:14" ht="18.75" customHeight="1">
      <c r="A85" s="143"/>
      <c r="B85" s="143"/>
      <c r="C85" s="143"/>
      <c r="D85" s="143"/>
      <c r="E85" s="143"/>
      <c r="F85" s="143"/>
      <c r="G85" s="143"/>
      <c r="H85" s="141"/>
      <c r="I85" s="142" t="s">
        <v>247</v>
      </c>
      <c r="J85" s="136"/>
      <c r="K85" s="302" t="s">
        <v>248</v>
      </c>
      <c r="L85" s="302"/>
      <c r="M85" s="121"/>
      <c r="N85" s="121"/>
    </row>
    <row r="86" spans="1:14" ht="17.25" customHeight="1">
      <c r="A86" s="143"/>
      <c r="B86" s="143"/>
      <c r="C86" s="143"/>
      <c r="D86" s="143"/>
      <c r="E86" s="143"/>
      <c r="F86" s="143"/>
      <c r="G86" s="143"/>
      <c r="H86" s="141"/>
      <c r="I86" s="142"/>
      <c r="J86" s="136" t="s">
        <v>249</v>
      </c>
      <c r="K86" s="121"/>
      <c r="L86" s="121"/>
      <c r="M86" s="121"/>
      <c r="N86" s="121"/>
    </row>
    <row r="87" spans="1:14" ht="24.75" customHeight="1">
      <c r="A87" s="306" t="s">
        <v>6</v>
      </c>
      <c r="B87" s="306"/>
      <c r="C87" s="306"/>
      <c r="D87" s="306"/>
      <c r="E87" s="306"/>
      <c r="F87" s="306"/>
      <c r="G87" s="306"/>
      <c r="H87" s="141"/>
      <c r="I87" s="145"/>
      <c r="J87" s="146"/>
      <c r="K87" s="307" t="s">
        <v>393</v>
      </c>
      <c r="L87" s="307"/>
      <c r="M87" s="307"/>
      <c r="N87" s="307"/>
    </row>
    <row r="88" spans="1:14" ht="22.5" customHeight="1">
      <c r="A88" s="143"/>
      <c r="B88" s="143"/>
      <c r="C88" s="143"/>
      <c r="D88" s="143"/>
      <c r="E88" s="143"/>
      <c r="F88" s="143"/>
      <c r="G88" s="143"/>
      <c r="H88" s="141"/>
      <c r="I88" s="142" t="s">
        <v>247</v>
      </c>
      <c r="J88" s="136"/>
      <c r="K88" s="302" t="s">
        <v>248</v>
      </c>
      <c r="L88" s="302"/>
      <c r="M88" s="121"/>
      <c r="N88" s="121"/>
    </row>
    <row r="89" spans="1:14" ht="21" customHeight="1">
      <c r="A89" s="303"/>
      <c r="B89" s="303"/>
      <c r="C89" s="303"/>
      <c r="D89" s="303"/>
      <c r="E89" s="303"/>
      <c r="F89" s="303"/>
      <c r="G89" s="303"/>
      <c r="H89" s="141"/>
      <c r="I89" s="147"/>
      <c r="J89" s="146"/>
      <c r="K89" s="147"/>
      <c r="L89" s="147"/>
      <c r="M89" s="147"/>
      <c r="N89" s="147"/>
    </row>
    <row r="90" spans="1:14" ht="20.25" customHeight="1">
      <c r="A90" s="143"/>
      <c r="B90" s="143"/>
      <c r="C90" s="143"/>
      <c r="D90" s="143"/>
      <c r="E90" s="143"/>
      <c r="F90" s="143"/>
      <c r="G90" s="143"/>
      <c r="H90" s="144"/>
      <c r="I90" s="147"/>
      <c r="J90" s="144"/>
      <c r="K90" s="147"/>
      <c r="L90" s="147"/>
      <c r="M90" s="147"/>
      <c r="N90" s="147"/>
    </row>
    <row r="91" spans="1:14">
      <c r="A91" s="137"/>
      <c r="B91" s="137"/>
      <c r="C91" s="138"/>
      <c r="D91" s="139"/>
      <c r="E91" s="139"/>
      <c r="F91" s="139"/>
      <c r="G91" s="140"/>
      <c r="H91" s="141"/>
      <c r="I91" s="142"/>
      <c r="J91" s="142"/>
      <c r="K91" s="132"/>
      <c r="L91" s="132"/>
      <c r="M91" s="131"/>
      <c r="N91" s="132"/>
    </row>
    <row r="92" spans="1:14">
      <c r="A92" s="137"/>
      <c r="B92" s="137"/>
      <c r="C92" s="138"/>
      <c r="D92" s="139"/>
      <c r="E92" s="139"/>
      <c r="F92" s="139"/>
      <c r="G92" s="140"/>
      <c r="H92" s="141"/>
      <c r="I92" s="142"/>
      <c r="J92" s="142"/>
      <c r="K92" s="132"/>
      <c r="L92" s="132"/>
      <c r="M92" s="131"/>
      <c r="N92" s="132"/>
    </row>
    <row r="93" spans="1:14">
      <c r="A93" s="137"/>
      <c r="B93" s="137"/>
      <c r="C93" s="138"/>
      <c r="D93" s="139"/>
      <c r="E93" s="139"/>
      <c r="F93" s="139"/>
      <c r="G93" s="140"/>
      <c r="H93" s="141"/>
      <c r="I93" s="142"/>
      <c r="J93" s="142"/>
      <c r="K93" s="132"/>
      <c r="L93" s="132"/>
      <c r="M93" s="131"/>
      <c r="N93" s="132"/>
    </row>
    <row r="94" spans="1:14">
      <c r="A94" s="137"/>
      <c r="B94" s="137"/>
      <c r="C94" s="138"/>
      <c r="D94" s="139"/>
      <c r="E94" s="139"/>
      <c r="F94" s="139"/>
      <c r="G94" s="140"/>
      <c r="H94" s="141"/>
      <c r="I94" s="142"/>
      <c r="J94" s="142"/>
      <c r="K94" s="132"/>
      <c r="L94" s="132"/>
      <c r="M94" s="131"/>
      <c r="N94" s="132"/>
    </row>
  </sheetData>
  <sheetProtection password="E18B" sheet="1" objects="1" scenarios="1" formatCells="0" formatColumns="0" formatRows="0"/>
  <mergeCells count="22">
    <mergeCell ref="A1:N1"/>
    <mergeCell ref="A2:N2"/>
    <mergeCell ref="A3:N3"/>
    <mergeCell ref="A4:N4"/>
    <mergeCell ref="M8:M10"/>
    <mergeCell ref="K9:L9"/>
    <mergeCell ref="K88:L88"/>
    <mergeCell ref="A89:G89"/>
    <mergeCell ref="A5:N5"/>
    <mergeCell ref="N8:N10"/>
    <mergeCell ref="A84:G84"/>
    <mergeCell ref="K84:N84"/>
    <mergeCell ref="A87:G87"/>
    <mergeCell ref="A82:M82"/>
    <mergeCell ref="H8:H10"/>
    <mergeCell ref="K85:L85"/>
    <mergeCell ref="K87:N87"/>
    <mergeCell ref="A11:C11"/>
    <mergeCell ref="I9:J9"/>
    <mergeCell ref="A8:C10"/>
    <mergeCell ref="G8:G10"/>
    <mergeCell ref="I8:L8"/>
  </mergeCells>
  <phoneticPr fontId="28" type="noConversion"/>
  <pageMargins left="0.15748031496062992" right="0.11811023622047245" top="0.6692913385826772" bottom="0.39370078740157483" header="0.35433070866141736" footer="0.15748031496062992"/>
  <pageSetup paperSize="9" scale="70" orientation="portrait" r:id="rId1"/>
  <headerFooter alignWithMargins="0"/>
  <colBreaks count="1" manualBreakCount="1">
    <brk id="1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2:AP32"/>
  <sheetViews>
    <sheetView topLeftCell="A17" workbookViewId="0">
      <selection activeCell="I10" sqref="I10"/>
    </sheetView>
  </sheetViews>
  <sheetFormatPr defaultRowHeight="12.75"/>
  <cols>
    <col min="1" max="1" width="3.85546875" style="26" customWidth="1"/>
    <col min="2" max="2" width="22.85546875" customWidth="1"/>
    <col min="3" max="3" width="14.28515625" style="41" customWidth="1"/>
    <col min="4" max="4" width="8.42578125" customWidth="1"/>
    <col min="5" max="5" width="8.5703125" customWidth="1"/>
    <col min="6" max="6" width="8.28515625" customWidth="1"/>
    <col min="7" max="7" width="9" customWidth="1"/>
    <col min="8" max="8" width="6.7109375" customWidth="1"/>
    <col min="10" max="10" width="8.42578125" customWidth="1"/>
    <col min="11" max="11" width="5.28515625" customWidth="1"/>
    <col min="12" max="12" width="8.85546875" customWidth="1"/>
    <col min="13" max="13" width="6.85546875" customWidth="1"/>
    <col min="15" max="15" width="4.5703125" customWidth="1"/>
    <col min="18" max="18" width="8.7109375" customWidth="1"/>
    <col min="19" max="19" width="9.140625" style="64"/>
    <col min="20" max="20" width="14.85546875" style="64" customWidth="1"/>
    <col min="21" max="24" width="9.140625" style="64"/>
  </cols>
  <sheetData>
    <row r="2" spans="1:24">
      <c r="H2" s="73" t="s">
        <v>7</v>
      </c>
    </row>
    <row r="3" spans="1:24">
      <c r="H3" s="73" t="s">
        <v>171</v>
      </c>
    </row>
    <row r="4" spans="1:24">
      <c r="H4" s="73" t="s">
        <v>251</v>
      </c>
    </row>
    <row r="5" spans="1:24">
      <c r="H5" s="73" t="s">
        <v>256</v>
      </c>
    </row>
    <row r="6" spans="1:24">
      <c r="H6" s="73" t="s">
        <v>374</v>
      </c>
    </row>
    <row r="7" spans="1:24" ht="35.25" customHeight="1">
      <c r="A7" s="374" t="s">
        <v>54</v>
      </c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</row>
    <row r="8" spans="1:24" ht="16.5" customHeight="1">
      <c r="B8" s="372" t="s">
        <v>159</v>
      </c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73"/>
      <c r="R8" s="373"/>
    </row>
    <row r="9" spans="1:24" ht="20.25" customHeight="1"/>
    <row r="10" spans="1:24" ht="12.75" customHeight="1">
      <c r="E10" s="182">
        <f>'Расчет доп. ФОТ '!C7</f>
        <v>9.1999999999999993</v>
      </c>
      <c r="I10" s="176">
        <f>'2.1. план.каль.дезинс.'!I10</f>
        <v>91.6</v>
      </c>
    </row>
    <row r="11" spans="1:24" s="49" customFormat="1" ht="249.75">
      <c r="A11" s="109" t="s">
        <v>0</v>
      </c>
      <c r="B11" s="15" t="s">
        <v>45</v>
      </c>
      <c r="C11" s="110" t="s">
        <v>20</v>
      </c>
      <c r="D11" s="109" t="s">
        <v>53</v>
      </c>
      <c r="E11" s="109" t="s">
        <v>51</v>
      </c>
      <c r="F11" s="109" t="s">
        <v>52</v>
      </c>
      <c r="G11" s="111" t="s">
        <v>377</v>
      </c>
      <c r="H11" s="112" t="s">
        <v>376</v>
      </c>
      <c r="I11" s="110" t="s">
        <v>46</v>
      </c>
      <c r="J11" s="109" t="s">
        <v>2</v>
      </c>
      <c r="K11" s="110" t="s">
        <v>3</v>
      </c>
      <c r="L11" s="109" t="s">
        <v>4</v>
      </c>
      <c r="M11" s="61" t="s">
        <v>174</v>
      </c>
      <c r="N11" s="109" t="s">
        <v>47</v>
      </c>
      <c r="O11" s="109" t="s">
        <v>48</v>
      </c>
      <c r="P11" s="109" t="s">
        <v>49</v>
      </c>
      <c r="Q11" s="109" t="s">
        <v>50</v>
      </c>
      <c r="R11" s="109" t="s">
        <v>5</v>
      </c>
      <c r="S11" s="65"/>
      <c r="T11" s="357" t="s">
        <v>55</v>
      </c>
      <c r="U11" s="358"/>
      <c r="V11" s="358"/>
      <c r="W11" s="358"/>
      <c r="X11" s="65"/>
    </row>
    <row r="12" spans="1:24" s="49" customFormat="1" ht="22.5" customHeight="1">
      <c r="A12" s="74" t="s">
        <v>56</v>
      </c>
      <c r="B12" s="360" t="s">
        <v>65</v>
      </c>
      <c r="C12" s="375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  <c r="O12" s="375"/>
      <c r="P12" s="375"/>
      <c r="Q12" s="375"/>
      <c r="R12" s="376"/>
      <c r="S12" s="65"/>
      <c r="T12" s="70"/>
      <c r="U12" s="71"/>
      <c r="V12" s="71"/>
      <c r="W12" s="71"/>
      <c r="X12" s="65"/>
    </row>
    <row r="13" spans="1:24" s="64" customFormat="1" ht="31.5" customHeight="1">
      <c r="A13" s="177" t="s">
        <v>58</v>
      </c>
      <c r="B13" s="75" t="s">
        <v>59</v>
      </c>
      <c r="C13" s="72" t="s">
        <v>74</v>
      </c>
      <c r="D13" s="44">
        <f>SUM('1.1 зпл.дерат.'!F13)</f>
        <v>4001.8</v>
      </c>
      <c r="E13" s="44">
        <f>ROUND(D13*$E$10/100,1)</f>
        <v>368.2</v>
      </c>
      <c r="F13" s="44">
        <f>+G13+H13</f>
        <v>1489.3</v>
      </c>
      <c r="G13" s="44">
        <f>+ROUND((D13+E13)*34%,1)</f>
        <v>1485.8</v>
      </c>
      <c r="H13" s="44">
        <f>+ROUND((D13+E13)*0.08%,1)</f>
        <v>3.5</v>
      </c>
      <c r="I13" s="44">
        <f>+ROUND(D13*$I$10/100,1)</f>
        <v>3665.6</v>
      </c>
      <c r="J13" s="44">
        <f>+D13+E13+F13+I13</f>
        <v>9524.9</v>
      </c>
      <c r="K13" s="45">
        <v>30</v>
      </c>
      <c r="L13" s="44">
        <f>+J13*K13/100+J13</f>
        <v>12382.369999999999</v>
      </c>
      <c r="M13" s="44">
        <f>+L13*3/97</f>
        <v>382.95989690721649</v>
      </c>
      <c r="N13" s="45">
        <f>+L13+M13</f>
        <v>12765.329896907215</v>
      </c>
      <c r="O13" s="45">
        <v>20</v>
      </c>
      <c r="P13" s="45">
        <f>ROUND(+N13*O13/100,0)</f>
        <v>2553</v>
      </c>
      <c r="Q13" s="45">
        <f>+N13+P13</f>
        <v>15318.329896907215</v>
      </c>
      <c r="R13" s="45">
        <f>+ROUND(Q13,-1)</f>
        <v>15320</v>
      </c>
    </row>
    <row r="14" spans="1:24" s="64" customFormat="1" ht="16.5" hidden="1" customHeight="1">
      <c r="A14" s="179"/>
      <c r="B14" s="43"/>
      <c r="C14" s="46"/>
      <c r="D14" s="44"/>
      <c r="E14" s="16"/>
      <c r="F14" s="16"/>
      <c r="G14" s="44">
        <f t="shared" ref="G14:G21" si="0">+ROUND((D14+E14)*35%,1)</f>
        <v>0</v>
      </c>
      <c r="H14" s="44">
        <f t="shared" ref="H14:H17" si="1">+ROUND((D14+E14)*0.08%,1)</f>
        <v>0</v>
      </c>
      <c r="I14" s="44">
        <f t="shared" ref="I14:I21" si="2">+ROUND(D14*$I$10/100,1)</f>
        <v>0</v>
      </c>
      <c r="J14" s="44">
        <f t="shared" ref="J14:J21" si="3">+D14+E14+F14+I14</f>
        <v>0</v>
      </c>
      <c r="K14" s="45">
        <v>16</v>
      </c>
      <c r="L14" s="44">
        <f t="shared" ref="L14:L21" si="4">+J14*K14/100+J14</f>
        <v>0</v>
      </c>
      <c r="M14" s="44">
        <f>+L14*3/97</f>
        <v>0</v>
      </c>
      <c r="N14" s="45">
        <f t="shared" ref="N14:N21" si="5">+L14+M14</f>
        <v>0</v>
      </c>
      <c r="O14" s="45">
        <v>19</v>
      </c>
      <c r="P14" s="45">
        <f t="shared" ref="P14:P17" si="6">ROUND(+N14*O14/100,0)</f>
        <v>0</v>
      </c>
      <c r="Q14" s="45">
        <f t="shared" ref="Q14:Q21" si="7">+N14+P14</f>
        <v>0</v>
      </c>
      <c r="R14" s="45">
        <f t="shared" ref="R14:R23" si="8">+ROUND(Q14,-1)</f>
        <v>0</v>
      </c>
    </row>
    <row r="15" spans="1:24" s="64" customFormat="1" ht="36.75" customHeight="1">
      <c r="A15" s="177" t="s">
        <v>61</v>
      </c>
      <c r="B15" s="75" t="s">
        <v>62</v>
      </c>
      <c r="C15" s="72" t="s">
        <v>75</v>
      </c>
      <c r="D15" s="44">
        <f>SUM('1.1 зпл.дерат.'!F14)</f>
        <v>2354</v>
      </c>
      <c r="E15" s="44">
        <f>ROUND(D15*$E$10/100,1)</f>
        <v>216.6</v>
      </c>
      <c r="F15" s="16">
        <f>+G15+H15</f>
        <v>876.1</v>
      </c>
      <c r="G15" s="44">
        <f>+ROUND((D15+E15)*34%,1)</f>
        <v>874</v>
      </c>
      <c r="H15" s="44">
        <f t="shared" si="1"/>
        <v>2.1</v>
      </c>
      <c r="I15" s="44">
        <f t="shared" si="2"/>
        <v>2156.3000000000002</v>
      </c>
      <c r="J15" s="44">
        <f t="shared" si="3"/>
        <v>5603</v>
      </c>
      <c r="K15" s="45">
        <v>30</v>
      </c>
      <c r="L15" s="44">
        <f t="shared" si="4"/>
        <v>7283.9</v>
      </c>
      <c r="M15" s="44">
        <f>+L15*3/97</f>
        <v>225.27525773195873</v>
      </c>
      <c r="N15" s="45">
        <f t="shared" si="5"/>
        <v>7509.1752577319585</v>
      </c>
      <c r="O15" s="45">
        <v>20</v>
      </c>
      <c r="P15" s="45">
        <f t="shared" si="6"/>
        <v>1502</v>
      </c>
      <c r="Q15" s="45">
        <f t="shared" si="7"/>
        <v>9011.1752577319585</v>
      </c>
      <c r="R15" s="45">
        <f t="shared" si="8"/>
        <v>9010</v>
      </c>
    </row>
    <row r="16" spans="1:24" s="64" customFormat="1" ht="19.5" hidden="1" customHeight="1">
      <c r="A16" s="180"/>
      <c r="B16" s="53"/>
      <c r="C16" s="54" t="s">
        <v>42</v>
      </c>
      <c r="D16" s="55">
        <f>+'1.1 зпл.дерат.'!G15</f>
        <v>0</v>
      </c>
      <c r="E16"/>
      <c r="F16"/>
      <c r="G16" s="55">
        <f t="shared" si="0"/>
        <v>0</v>
      </c>
      <c r="H16" s="44">
        <f t="shared" si="1"/>
        <v>0</v>
      </c>
      <c r="I16" s="55">
        <f t="shared" si="2"/>
        <v>0</v>
      </c>
      <c r="J16" s="55">
        <f t="shared" si="3"/>
        <v>0</v>
      </c>
      <c r="K16" s="56">
        <v>18</v>
      </c>
      <c r="L16" s="55">
        <f t="shared" si="4"/>
        <v>0</v>
      </c>
      <c r="M16" s="44">
        <f>+L16*3/97</f>
        <v>0</v>
      </c>
      <c r="N16" s="56">
        <f t="shared" si="5"/>
        <v>0</v>
      </c>
      <c r="O16" s="56">
        <v>21</v>
      </c>
      <c r="P16" s="45">
        <f t="shared" si="6"/>
        <v>0</v>
      </c>
      <c r="Q16" s="56">
        <f t="shared" si="7"/>
        <v>0</v>
      </c>
      <c r="R16" s="56">
        <f t="shared" si="8"/>
        <v>0</v>
      </c>
    </row>
    <row r="17" spans="1:42" s="64" customFormat="1" ht="38.25">
      <c r="A17" s="177" t="s">
        <v>63</v>
      </c>
      <c r="B17" s="75" t="s">
        <v>68</v>
      </c>
      <c r="C17" s="72" t="s">
        <v>75</v>
      </c>
      <c r="D17" s="44">
        <f>SUM('1.1 зпл.дерат.'!F15)</f>
        <v>1412.4</v>
      </c>
      <c r="E17" s="44">
        <f>ROUND(D17*$E$10/100,1)</f>
        <v>129.9</v>
      </c>
      <c r="F17" s="16">
        <f>+G17+H17</f>
        <v>525.6</v>
      </c>
      <c r="G17" s="44">
        <f>+ROUND((D17+E17)*34%,1)</f>
        <v>524.4</v>
      </c>
      <c r="H17" s="44">
        <f t="shared" si="1"/>
        <v>1.2</v>
      </c>
      <c r="I17" s="44">
        <f t="shared" si="2"/>
        <v>1293.8</v>
      </c>
      <c r="J17" s="44">
        <f t="shared" si="3"/>
        <v>3361.7</v>
      </c>
      <c r="K17" s="45">
        <v>30</v>
      </c>
      <c r="L17" s="44">
        <f t="shared" si="4"/>
        <v>4370.21</v>
      </c>
      <c r="M17" s="44">
        <f>+L17*3/97</f>
        <v>135.16113402061856</v>
      </c>
      <c r="N17" s="45">
        <f t="shared" si="5"/>
        <v>4505.3711340206182</v>
      </c>
      <c r="O17" s="45">
        <v>20</v>
      </c>
      <c r="P17" s="45">
        <f t="shared" si="6"/>
        <v>901</v>
      </c>
      <c r="Q17" s="45">
        <f t="shared" si="7"/>
        <v>5406.3711340206182</v>
      </c>
      <c r="R17" s="45">
        <f t="shared" si="8"/>
        <v>5410</v>
      </c>
    </row>
    <row r="18" spans="1:42" hidden="1">
      <c r="A18" s="52"/>
      <c r="D18" s="59">
        <f>+'1.1 зпл.дерат.'!G17</f>
        <v>0</v>
      </c>
      <c r="G18" s="59">
        <f t="shared" si="0"/>
        <v>0</v>
      </c>
      <c r="H18" s="59">
        <f>+ROUND((D18+E18)*0.3%,1)</f>
        <v>0</v>
      </c>
      <c r="I18" s="59">
        <f t="shared" si="2"/>
        <v>0</v>
      </c>
      <c r="J18" s="59">
        <f t="shared" si="3"/>
        <v>0</v>
      </c>
      <c r="K18" s="60">
        <v>20</v>
      </c>
      <c r="L18" s="57">
        <f t="shared" si="4"/>
        <v>0</v>
      </c>
      <c r="M18" s="57">
        <f>+L18*0.0204081632653061</f>
        <v>0</v>
      </c>
      <c r="N18" s="57">
        <f t="shared" si="5"/>
        <v>0</v>
      </c>
      <c r="O18" s="58">
        <v>23</v>
      </c>
      <c r="P18" s="57">
        <f t="shared" ref="P18" si="9">+N18*O18/100</f>
        <v>0</v>
      </c>
      <c r="Q18" s="57">
        <f t="shared" si="7"/>
        <v>0</v>
      </c>
      <c r="R18" s="57">
        <f t="shared" si="8"/>
        <v>0</v>
      </c>
    </row>
    <row r="19" spans="1:42">
      <c r="A19" s="114" t="s">
        <v>66</v>
      </c>
      <c r="B19" s="369" t="s">
        <v>67</v>
      </c>
      <c r="C19" s="370"/>
      <c r="D19" s="370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370"/>
      <c r="R19" s="371"/>
    </row>
    <row r="20" spans="1:42" ht="31.5">
      <c r="A20" s="177" t="s">
        <v>69</v>
      </c>
      <c r="B20" s="75" t="s">
        <v>59</v>
      </c>
      <c r="C20" s="72" t="s">
        <v>74</v>
      </c>
      <c r="D20" s="44">
        <f>SUM('1.1 зпл.дерат.'!F17)</f>
        <v>34603.800000000003</v>
      </c>
      <c r="E20" s="44">
        <f>ROUND(D20*$E$10/100,1)</f>
        <v>3183.5</v>
      </c>
      <c r="F20" s="16">
        <f>+G20+H20</f>
        <v>12877.900000000001</v>
      </c>
      <c r="G20" s="44">
        <f>+ROUND((D20+E20)*34%,1)</f>
        <v>12847.7</v>
      </c>
      <c r="H20" s="44">
        <f t="shared" ref="H20:H28" si="10">+ROUND((D20+E20)*0.08%,1)</f>
        <v>30.2</v>
      </c>
      <c r="I20" s="44">
        <f t="shared" si="2"/>
        <v>31697.1</v>
      </c>
      <c r="J20" s="44">
        <f t="shared" si="3"/>
        <v>82362.3</v>
      </c>
      <c r="K20" s="45">
        <v>30</v>
      </c>
      <c r="L20" s="44">
        <f t="shared" si="4"/>
        <v>107070.99</v>
      </c>
      <c r="M20" s="44">
        <f>+L20*3/97</f>
        <v>3311.4739175257737</v>
      </c>
      <c r="N20" s="45">
        <f t="shared" si="5"/>
        <v>110382.46391752578</v>
      </c>
      <c r="O20" s="45">
        <v>20</v>
      </c>
      <c r="P20" s="45">
        <f>ROUND(+N20*O20/100,0)</f>
        <v>22076</v>
      </c>
      <c r="Q20" s="45">
        <f t="shared" si="7"/>
        <v>132458.46391752578</v>
      </c>
      <c r="R20" s="45">
        <f t="shared" si="8"/>
        <v>132460</v>
      </c>
    </row>
    <row r="21" spans="1:42" hidden="1">
      <c r="A21" s="181"/>
      <c r="D21" s="59">
        <f>+'1.1 зпл.дерат.'!G19</f>
        <v>0</v>
      </c>
      <c r="G21" s="59">
        <f t="shared" si="0"/>
        <v>0</v>
      </c>
      <c r="H21" s="44">
        <f t="shared" si="10"/>
        <v>0</v>
      </c>
      <c r="I21" s="59">
        <f t="shared" si="2"/>
        <v>0</v>
      </c>
      <c r="J21" s="59">
        <f t="shared" si="3"/>
        <v>0</v>
      </c>
      <c r="K21" s="60">
        <v>17.2</v>
      </c>
      <c r="L21" s="55">
        <f t="shared" si="4"/>
        <v>0</v>
      </c>
      <c r="M21" s="55">
        <f>+L21*0.0204081632653061</f>
        <v>0</v>
      </c>
      <c r="N21" s="56">
        <f t="shared" si="5"/>
        <v>0</v>
      </c>
      <c r="O21" s="56">
        <v>25</v>
      </c>
      <c r="P21" s="45">
        <f t="shared" ref="P21:P28" si="11">ROUND(+N21*O21/100,0)</f>
        <v>0</v>
      </c>
      <c r="Q21" s="56">
        <f t="shared" si="7"/>
        <v>0</v>
      </c>
      <c r="R21" s="117">
        <f t="shared" si="8"/>
        <v>0</v>
      </c>
    </row>
    <row r="22" spans="1:42" ht="42" customHeight="1">
      <c r="A22" s="177" t="s">
        <v>70</v>
      </c>
      <c r="B22" s="75" t="s">
        <v>62</v>
      </c>
      <c r="C22" s="72" t="s">
        <v>75</v>
      </c>
      <c r="D22" s="44">
        <f>SUM('1.1 зпл.дерат.'!F18)</f>
        <v>11534.6</v>
      </c>
      <c r="E22" s="44">
        <f>ROUND(D22*$E$10/100,1)</f>
        <v>1061.2</v>
      </c>
      <c r="F22" s="16">
        <f>+G22+H22</f>
        <v>4292.7000000000007</v>
      </c>
      <c r="G22" s="44">
        <f>+ROUND((D22+E22)*34%,1)</f>
        <v>4282.6000000000004</v>
      </c>
      <c r="H22" s="44">
        <f t="shared" si="10"/>
        <v>10.1</v>
      </c>
      <c r="I22" s="44">
        <f>+ROUND(D22*$I$10/100,1)</f>
        <v>10565.7</v>
      </c>
      <c r="J22" s="44">
        <f>+D22+E22+F22+I22</f>
        <v>27454.2</v>
      </c>
      <c r="K22" s="45">
        <v>30</v>
      </c>
      <c r="L22" s="44">
        <f>+J22*K22/100+J22</f>
        <v>35690.46</v>
      </c>
      <c r="M22" s="44">
        <f>+L22*3/97</f>
        <v>1103.8286597938145</v>
      </c>
      <c r="N22" s="45">
        <f>+L22+M22</f>
        <v>36794.288659793812</v>
      </c>
      <c r="O22" s="45">
        <v>20</v>
      </c>
      <c r="P22" s="45">
        <f t="shared" si="11"/>
        <v>7359</v>
      </c>
      <c r="Q22" s="45">
        <f>+N22+P22</f>
        <v>44153.288659793812</v>
      </c>
      <c r="R22" s="45">
        <f t="shared" si="8"/>
        <v>44150</v>
      </c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</row>
    <row r="23" spans="1:42" ht="38.25">
      <c r="A23" s="177" t="s">
        <v>71</v>
      </c>
      <c r="B23" s="75" t="s">
        <v>68</v>
      </c>
      <c r="C23" s="72" t="s">
        <v>75</v>
      </c>
      <c r="D23" s="44">
        <f>SUM('1.1 зпл.дерат.'!F19)</f>
        <v>6355.8</v>
      </c>
      <c r="E23" s="44">
        <f>ROUND(D23*$E$10/100,1)</f>
        <v>584.70000000000005</v>
      </c>
      <c r="F23" s="16">
        <f>+G23+H23</f>
        <v>2365.4</v>
      </c>
      <c r="G23" s="44">
        <f>+ROUND((D23+E23)*34%,1)</f>
        <v>2359.8000000000002</v>
      </c>
      <c r="H23" s="44">
        <f t="shared" si="10"/>
        <v>5.6</v>
      </c>
      <c r="I23" s="44">
        <f>+ROUND(D23*$I$10/100,1)</f>
        <v>5821.9</v>
      </c>
      <c r="J23" s="44">
        <f>+D23+E23+F23+I23</f>
        <v>15127.8</v>
      </c>
      <c r="K23" s="45">
        <v>30</v>
      </c>
      <c r="L23" s="44">
        <f>+J23*K23/100+J23</f>
        <v>19666.14</v>
      </c>
      <c r="M23" s="44">
        <f>+L23*3/97</f>
        <v>608.23113402061858</v>
      </c>
      <c r="N23" s="45">
        <f>+L23+M23</f>
        <v>20274.371134020617</v>
      </c>
      <c r="O23" s="45">
        <v>20</v>
      </c>
      <c r="P23" s="45">
        <f t="shared" si="11"/>
        <v>4055</v>
      </c>
      <c r="Q23" s="45">
        <f>+N23+P23</f>
        <v>24329.371134020617</v>
      </c>
      <c r="R23" s="45">
        <f t="shared" si="8"/>
        <v>24330</v>
      </c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</row>
    <row r="24" spans="1:42" hidden="1">
      <c r="A24" s="52"/>
      <c r="B24" s="64"/>
      <c r="C24" s="66"/>
      <c r="D24" s="67"/>
      <c r="E24" s="64"/>
      <c r="F24" s="64"/>
      <c r="G24" s="67"/>
      <c r="H24" s="44">
        <f t="shared" si="10"/>
        <v>0</v>
      </c>
      <c r="I24" s="67"/>
      <c r="J24" s="67"/>
      <c r="K24" s="68"/>
      <c r="L24" s="67"/>
      <c r="M24" s="67"/>
      <c r="N24" s="68"/>
      <c r="O24" s="45">
        <v>20</v>
      </c>
      <c r="P24" s="45">
        <f t="shared" si="11"/>
        <v>0</v>
      </c>
      <c r="Q24" s="68"/>
      <c r="R24" s="68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</row>
    <row r="25" spans="1:42" hidden="1">
      <c r="B25" s="64"/>
      <c r="C25" s="66"/>
      <c r="D25" s="64"/>
      <c r="E25" s="64"/>
      <c r="F25" s="64"/>
      <c r="G25" s="64"/>
      <c r="H25" s="44">
        <f t="shared" si="10"/>
        <v>0</v>
      </c>
      <c r="I25" s="64"/>
      <c r="J25" s="64"/>
      <c r="K25" s="64"/>
      <c r="L25" s="64"/>
      <c r="M25" s="64"/>
      <c r="N25" s="68"/>
      <c r="O25" s="45">
        <v>20</v>
      </c>
      <c r="P25" s="45">
        <f t="shared" si="11"/>
        <v>0</v>
      </c>
      <c r="Q25" s="68"/>
      <c r="R25" s="68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</row>
    <row r="26" spans="1:42" ht="38.25">
      <c r="A26" s="78" t="s">
        <v>72</v>
      </c>
      <c r="B26" s="76" t="s">
        <v>73</v>
      </c>
      <c r="C26" s="77" t="s">
        <v>76</v>
      </c>
      <c r="D26" s="44">
        <f>SUM('1.1 зпл.дерат.'!F20)</f>
        <v>12947</v>
      </c>
      <c r="E26" s="44">
        <f>ROUND(D26*$E$10/100,1)</f>
        <v>1191.0999999999999</v>
      </c>
      <c r="F26" s="16">
        <f>+G26+H26</f>
        <v>4818.3</v>
      </c>
      <c r="G26" s="44">
        <f>+ROUND((D26+E26)*34%,1)</f>
        <v>4807</v>
      </c>
      <c r="H26" s="44">
        <f t="shared" si="10"/>
        <v>11.3</v>
      </c>
      <c r="I26" s="44">
        <f>+ROUND(D26*$I$10/100,1)</f>
        <v>11859.5</v>
      </c>
      <c r="J26" s="44">
        <f>+D26+E26+F26+I26</f>
        <v>30815.9</v>
      </c>
      <c r="K26" s="45">
        <v>30</v>
      </c>
      <c r="L26" s="44">
        <f>+J26*K26/100+J26</f>
        <v>40060.67</v>
      </c>
      <c r="M26" s="44">
        <f>+L26*3/97</f>
        <v>1238.9897938144329</v>
      </c>
      <c r="N26" s="45">
        <f>+L26+M26</f>
        <v>41299.659793814433</v>
      </c>
      <c r="O26" s="45">
        <v>20</v>
      </c>
      <c r="P26" s="45">
        <f t="shared" si="11"/>
        <v>8260</v>
      </c>
      <c r="Q26" s="45">
        <f>+N26+P26</f>
        <v>49559.659793814433</v>
      </c>
      <c r="R26" s="45">
        <f>+ROUND(Q26,-1)</f>
        <v>49560</v>
      </c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</row>
    <row r="27" spans="1:42" ht="42.75" customHeight="1">
      <c r="A27" s="80" t="s">
        <v>77</v>
      </c>
      <c r="B27" s="76" t="s">
        <v>78</v>
      </c>
      <c r="C27" s="72" t="s">
        <v>75</v>
      </c>
      <c r="D27" s="44">
        <f>SUM('1.1 зпл.дерат.'!F21)</f>
        <v>13653.2</v>
      </c>
      <c r="E27" s="44">
        <f>ROUND(D27*$E$10/100,1)</f>
        <v>1256.0999999999999</v>
      </c>
      <c r="F27" s="16">
        <f>+G27+H27</f>
        <v>5081.0999999999995</v>
      </c>
      <c r="G27" s="44">
        <f>+ROUND((D27+E27)*34%,1)</f>
        <v>5069.2</v>
      </c>
      <c r="H27" s="44">
        <f t="shared" si="10"/>
        <v>11.9</v>
      </c>
      <c r="I27" s="44">
        <f>+ROUND(D27*$I$10/100,1)</f>
        <v>12506.3</v>
      </c>
      <c r="J27" s="44">
        <f>+D27+E27+F27+I27</f>
        <v>32496.7</v>
      </c>
      <c r="K27" s="45">
        <v>30</v>
      </c>
      <c r="L27" s="44">
        <f>+J27*K27/100+J27</f>
        <v>42245.71</v>
      </c>
      <c r="M27" s="44">
        <f>+L27*3/97</f>
        <v>1306.5683505154639</v>
      </c>
      <c r="N27" s="45">
        <f>+L27+M27</f>
        <v>43552.278350515466</v>
      </c>
      <c r="O27" s="45">
        <v>20</v>
      </c>
      <c r="P27" s="45">
        <f t="shared" si="11"/>
        <v>8710</v>
      </c>
      <c r="Q27" s="45">
        <f>+N27+P27</f>
        <v>52262.278350515466</v>
      </c>
      <c r="R27" s="45">
        <f>+ROUND(Q27,-1)</f>
        <v>52260</v>
      </c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</row>
    <row r="28" spans="1:42" ht="40.5" customHeight="1">
      <c r="A28" s="80" t="s">
        <v>82</v>
      </c>
      <c r="B28" s="83" t="s">
        <v>79</v>
      </c>
      <c r="C28" s="77" t="s">
        <v>80</v>
      </c>
      <c r="D28" s="44">
        <f>SUM('1.1 зпл.дерат.'!F22)</f>
        <v>3647.6000000000004</v>
      </c>
      <c r="E28" s="44">
        <f>ROUND(D28*$E$10/100,1)</f>
        <v>335.6</v>
      </c>
      <c r="F28" s="16">
        <f>+G28+H28</f>
        <v>1357.5</v>
      </c>
      <c r="G28" s="44">
        <f>+ROUND((D28+E28)*34%,1)</f>
        <v>1354.3</v>
      </c>
      <c r="H28" s="44">
        <f t="shared" si="10"/>
        <v>3.2</v>
      </c>
      <c r="I28" s="44">
        <f>+ROUND(D28*$I$10/100,1)</f>
        <v>3341.2</v>
      </c>
      <c r="J28" s="44">
        <f>+D28+E28+F28+I28</f>
        <v>8681.9000000000015</v>
      </c>
      <c r="K28" s="45">
        <v>30</v>
      </c>
      <c r="L28" s="44">
        <f>+J28*K28/100+J28</f>
        <v>11286.470000000001</v>
      </c>
      <c r="M28" s="44">
        <f>+L28*3/97</f>
        <v>349.06608247422685</v>
      </c>
      <c r="N28" s="45">
        <f>+L28+M28</f>
        <v>11635.536082474227</v>
      </c>
      <c r="O28" s="45">
        <v>20</v>
      </c>
      <c r="P28" s="45">
        <f t="shared" si="11"/>
        <v>2327</v>
      </c>
      <c r="Q28" s="45">
        <f>+N28+P28</f>
        <v>13962.536082474227</v>
      </c>
      <c r="R28" s="45">
        <f>+ROUND(Q28,-1)</f>
        <v>13960</v>
      </c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</row>
    <row r="29" spans="1:42">
      <c r="B29" s="64"/>
      <c r="C29" s="66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</row>
    <row r="30" spans="1:42" ht="15.75">
      <c r="B30" s="64"/>
      <c r="C30" s="88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</row>
    <row r="31" spans="1:42">
      <c r="B31" s="64"/>
      <c r="C31" s="66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</row>
    <row r="32" spans="1:42" ht="15.75">
      <c r="C32" s="113" t="s">
        <v>258</v>
      </c>
    </row>
  </sheetData>
  <mergeCells count="5">
    <mergeCell ref="B19:R19"/>
    <mergeCell ref="B8:R8"/>
    <mergeCell ref="A7:P7"/>
    <mergeCell ref="T11:W11"/>
    <mergeCell ref="B12:R12"/>
  </mergeCells>
  <phoneticPr fontId="0" type="noConversion"/>
  <pageMargins left="0.19685039370078741" right="7.874015748031496E-2" top="0.59055118110236227" bottom="0.59055118110236227" header="0.51181102362204722" footer="0.51181102362204722"/>
  <pageSetup paperSize="9" scale="9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F32"/>
  <sheetViews>
    <sheetView workbookViewId="0">
      <selection activeCell="E21" sqref="E21"/>
    </sheetView>
  </sheetViews>
  <sheetFormatPr defaultRowHeight="12.75"/>
  <cols>
    <col min="1" max="1" width="2.85546875" customWidth="1"/>
    <col min="2" max="2" width="17.140625" customWidth="1"/>
    <col min="3" max="3" width="16.28515625" customWidth="1"/>
    <col min="4" max="4" width="6" customWidth="1"/>
    <col min="5" max="5" width="12.42578125" customWidth="1"/>
    <col min="6" max="7" width="11.7109375" customWidth="1"/>
    <col min="8" max="8" width="11.5703125" customWidth="1"/>
    <col min="9" max="9" width="6.85546875" customWidth="1"/>
    <col min="10" max="10" width="14.42578125" customWidth="1"/>
    <col min="11" max="11" width="12" customWidth="1"/>
    <col min="12" max="12" width="13.42578125" customWidth="1"/>
    <col min="13" max="13" width="14.5703125" customWidth="1"/>
  </cols>
  <sheetData>
    <row r="1" spans="1:57">
      <c r="G1" s="160" t="s">
        <v>272</v>
      </c>
      <c r="H1">
        <v>1</v>
      </c>
    </row>
    <row r="2" spans="1:57">
      <c r="B2" s="239" t="s">
        <v>383</v>
      </c>
    </row>
    <row r="4" spans="1:57" ht="12.75" customHeight="1">
      <c r="B4" s="166"/>
      <c r="J4" s="377" t="s">
        <v>359</v>
      </c>
      <c r="K4" s="378"/>
      <c r="L4" s="378"/>
      <c r="M4" s="378"/>
      <c r="N4" s="377" t="s">
        <v>307</v>
      </c>
      <c r="O4" s="378"/>
      <c r="P4" s="378"/>
      <c r="Q4" s="378"/>
      <c r="R4" s="377" t="s">
        <v>311</v>
      </c>
      <c r="S4" s="378"/>
      <c r="T4" s="378"/>
      <c r="U4" s="378"/>
      <c r="V4" s="377" t="s">
        <v>312</v>
      </c>
      <c r="W4" s="378"/>
      <c r="X4" s="378"/>
      <c r="Y4" s="378"/>
      <c r="Z4" s="377" t="s">
        <v>313</v>
      </c>
      <c r="AA4" s="378"/>
      <c r="AB4" s="378"/>
      <c r="AC4" s="378"/>
      <c r="AD4" s="377" t="s">
        <v>314</v>
      </c>
      <c r="AE4" s="378"/>
      <c r="AF4" s="378"/>
      <c r="AG4" s="378"/>
      <c r="AH4" s="377" t="s">
        <v>315</v>
      </c>
      <c r="AI4" s="378"/>
      <c r="AJ4" s="378"/>
      <c r="AK4" s="378"/>
      <c r="AL4" s="377" t="s">
        <v>316</v>
      </c>
      <c r="AM4" s="378"/>
      <c r="AN4" s="378"/>
      <c r="AO4" s="378"/>
      <c r="AP4" s="377" t="s">
        <v>317</v>
      </c>
      <c r="AQ4" s="378"/>
      <c r="AR4" s="378"/>
      <c r="AS4" s="378"/>
      <c r="AT4" s="377" t="s">
        <v>318</v>
      </c>
      <c r="AU4" s="378"/>
      <c r="AV4" s="378"/>
      <c r="AW4" s="378"/>
      <c r="AX4" s="377" t="s">
        <v>319</v>
      </c>
      <c r="AY4" s="378"/>
      <c r="AZ4" s="378"/>
      <c r="BA4" s="378"/>
      <c r="BB4" s="377" t="s">
        <v>320</v>
      </c>
      <c r="BC4" s="378"/>
      <c r="BD4" s="378"/>
      <c r="BE4" s="378"/>
    </row>
    <row r="5" spans="1:57" ht="39" customHeight="1">
      <c r="A5" s="168"/>
      <c r="B5" s="167" t="s">
        <v>260</v>
      </c>
      <c r="C5" s="169" t="s">
        <v>322</v>
      </c>
      <c r="D5" s="167" t="s">
        <v>321</v>
      </c>
      <c r="E5" s="167" t="s">
        <v>261</v>
      </c>
      <c r="F5" s="167" t="s">
        <v>308</v>
      </c>
      <c r="G5" s="167" t="s">
        <v>309</v>
      </c>
      <c r="H5" s="224" t="s">
        <v>348</v>
      </c>
      <c r="J5" s="250" t="s">
        <v>378</v>
      </c>
      <c r="K5" s="171" t="s">
        <v>353</v>
      </c>
      <c r="L5" s="171" t="s">
        <v>354</v>
      </c>
      <c r="M5" s="171" t="s">
        <v>355</v>
      </c>
      <c r="N5" s="163" t="s">
        <v>261</v>
      </c>
      <c r="O5" s="161" t="s">
        <v>308</v>
      </c>
      <c r="P5" s="161" t="s">
        <v>309</v>
      </c>
      <c r="Q5" s="161" t="s">
        <v>310</v>
      </c>
      <c r="R5" s="163" t="s">
        <v>261</v>
      </c>
      <c r="S5" s="161" t="s">
        <v>308</v>
      </c>
      <c r="T5" s="161" t="s">
        <v>309</v>
      </c>
      <c r="U5" s="161" t="s">
        <v>310</v>
      </c>
      <c r="V5" s="163" t="s">
        <v>261</v>
      </c>
      <c r="W5" s="161" t="s">
        <v>308</v>
      </c>
      <c r="X5" s="161" t="s">
        <v>309</v>
      </c>
      <c r="Y5" s="161" t="s">
        <v>310</v>
      </c>
      <c r="Z5" s="163" t="s">
        <v>261</v>
      </c>
      <c r="AA5" s="161" t="s">
        <v>308</v>
      </c>
      <c r="AB5" s="161" t="s">
        <v>309</v>
      </c>
      <c r="AC5" s="161" t="s">
        <v>310</v>
      </c>
      <c r="AD5" s="163" t="s">
        <v>261</v>
      </c>
      <c r="AE5" s="161" t="s">
        <v>308</v>
      </c>
      <c r="AF5" s="161" t="s">
        <v>309</v>
      </c>
      <c r="AG5" s="161" t="s">
        <v>310</v>
      </c>
      <c r="AH5" s="163" t="s">
        <v>261</v>
      </c>
      <c r="AI5" s="161" t="s">
        <v>308</v>
      </c>
      <c r="AJ5" s="161" t="s">
        <v>309</v>
      </c>
      <c r="AK5" s="161" t="s">
        <v>310</v>
      </c>
      <c r="AL5" s="163" t="s">
        <v>261</v>
      </c>
      <c r="AM5" s="161" t="s">
        <v>308</v>
      </c>
      <c r="AN5" s="161" t="s">
        <v>309</v>
      </c>
      <c r="AO5" s="161" t="s">
        <v>310</v>
      </c>
      <c r="AP5" s="163" t="s">
        <v>261</v>
      </c>
      <c r="AQ5" s="161" t="s">
        <v>308</v>
      </c>
      <c r="AR5" s="161" t="s">
        <v>309</v>
      </c>
      <c r="AS5" s="161" t="s">
        <v>310</v>
      </c>
      <c r="AT5" s="163" t="s">
        <v>261</v>
      </c>
      <c r="AU5" s="161" t="s">
        <v>308</v>
      </c>
      <c r="AV5" s="161" t="s">
        <v>309</v>
      </c>
      <c r="AW5" s="161" t="s">
        <v>310</v>
      </c>
      <c r="AX5" s="163" t="s">
        <v>261</v>
      </c>
      <c r="AY5" s="161" t="s">
        <v>308</v>
      </c>
      <c r="AZ5" s="161" t="s">
        <v>309</v>
      </c>
      <c r="BA5" s="161" t="s">
        <v>310</v>
      </c>
      <c r="BB5" s="163" t="s">
        <v>261</v>
      </c>
      <c r="BC5" s="161" t="s">
        <v>308</v>
      </c>
      <c r="BD5" s="161" t="s">
        <v>309</v>
      </c>
      <c r="BE5" s="161" t="s">
        <v>310</v>
      </c>
    </row>
    <row r="6" spans="1:57" ht="15.95" customHeight="1">
      <c r="A6" s="16">
        <v>1</v>
      </c>
      <c r="B6" s="171" t="s">
        <v>324</v>
      </c>
      <c r="C6" s="185" t="s">
        <v>262</v>
      </c>
      <c r="D6" s="162">
        <v>1</v>
      </c>
      <c r="E6" s="219">
        <f t="shared" ref="E6:H6" si="0">SUM(J6,N6,R6,V6,Z6,AD6,AH6,AL6,AP6,AT6,AX6,BB6)</f>
        <v>24285277</v>
      </c>
      <c r="F6" s="219">
        <f t="shared" si="0"/>
        <v>5721817</v>
      </c>
      <c r="G6" s="219">
        <f t="shared" si="0"/>
        <v>6111954</v>
      </c>
      <c r="H6" s="219">
        <f t="shared" si="0"/>
        <v>6296100</v>
      </c>
      <c r="I6" s="220"/>
      <c r="J6" s="219">
        <v>24285277</v>
      </c>
      <c r="K6" s="219">
        <v>5721817</v>
      </c>
      <c r="L6" s="219">
        <v>6111954</v>
      </c>
      <c r="M6" s="219">
        <v>6296100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5.95" customHeight="1">
      <c r="A7" s="16">
        <v>2</v>
      </c>
      <c r="B7" s="161" t="s">
        <v>263</v>
      </c>
      <c r="C7" s="163" t="s">
        <v>264</v>
      </c>
      <c r="D7" s="16">
        <v>1</v>
      </c>
      <c r="E7" s="219">
        <f t="shared" ref="E7:E11" si="1">SUM(J7,N7,R7,V7,Z7,AD7,AH7,AL7,AP7,AT7,AX7,BB7)</f>
        <v>22648008</v>
      </c>
      <c r="F7" s="219">
        <f t="shared" ref="F7:F11" si="2">SUM(K7,O7,S7,W7,AA7,AE7,AI7,AM7,AQ7,AU7,AY7,BC7)</f>
        <v>5146749</v>
      </c>
      <c r="G7" s="219">
        <f>SUM(L7,P7,T7,X7,AB7,AF7,AJ7,AN7,AR7,AV7,AZ7,BD7)</f>
        <v>3829754</v>
      </c>
      <c r="H7" s="219">
        <f>SUM(M7,Q7,U7,Y7,AC7,AG7,AK7,AO7,AS7,AW7,BA7,BE7)</f>
        <v>11195975</v>
      </c>
      <c r="I7" s="220"/>
      <c r="J7" s="219">
        <v>22648008</v>
      </c>
      <c r="K7" s="219">
        <v>5146749</v>
      </c>
      <c r="L7" s="219">
        <v>3829754</v>
      </c>
      <c r="M7" s="219">
        <v>11195975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5.95" customHeight="1">
      <c r="A8" s="16">
        <v>3</v>
      </c>
      <c r="B8" s="161" t="s">
        <v>265</v>
      </c>
      <c r="C8" s="163" t="s">
        <v>266</v>
      </c>
      <c r="D8" s="16">
        <v>1</v>
      </c>
      <c r="E8" s="219">
        <f t="shared" si="1"/>
        <v>19413673</v>
      </c>
      <c r="F8" s="219">
        <f t="shared" si="2"/>
        <v>3699530</v>
      </c>
      <c r="G8" s="219">
        <f t="shared" ref="G8:G11" si="3">SUM(L8,P8,T8,X8,AB8,AF8,AJ8,AN8,AR8,AV8,AZ8,BD8)</f>
        <v>2005643</v>
      </c>
      <c r="H8" s="219">
        <f t="shared" ref="H8:H11" si="4">SUM(M8,Q8,U8,Y8,AC8,AG8,AK8,AO8,AS8,AW8,BA8,BE8)</f>
        <v>0</v>
      </c>
      <c r="I8" s="220"/>
      <c r="J8" s="219">
        <v>19413673</v>
      </c>
      <c r="K8" s="219">
        <v>3699530</v>
      </c>
      <c r="L8" s="219">
        <v>2005643</v>
      </c>
      <c r="M8" s="219">
        <v>0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5.95" customHeight="1">
      <c r="A9" s="16">
        <v>4</v>
      </c>
      <c r="B9" s="161" t="s">
        <v>267</v>
      </c>
      <c r="C9" s="163" t="s">
        <v>268</v>
      </c>
      <c r="D9" s="16">
        <v>0.5</v>
      </c>
      <c r="E9" s="219">
        <f t="shared" si="1"/>
        <v>13991456</v>
      </c>
      <c r="F9" s="219">
        <f t="shared" si="2"/>
        <v>5494541</v>
      </c>
      <c r="G9" s="219">
        <f t="shared" si="3"/>
        <v>1784778</v>
      </c>
      <c r="H9" s="219">
        <f t="shared" si="4"/>
        <v>0</v>
      </c>
      <c r="I9" s="220"/>
      <c r="J9" s="219">
        <v>13991456</v>
      </c>
      <c r="K9" s="219">
        <v>5494541</v>
      </c>
      <c r="L9" s="219">
        <v>1784778</v>
      </c>
      <c r="M9" s="219">
        <v>0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27.75" customHeight="1">
      <c r="A10" s="16">
        <v>5</v>
      </c>
      <c r="B10" s="171" t="s">
        <v>347</v>
      </c>
      <c r="C10" s="185" t="s">
        <v>350</v>
      </c>
      <c r="D10" s="16">
        <v>1</v>
      </c>
      <c r="E10" s="219">
        <f t="shared" si="1"/>
        <v>13012728</v>
      </c>
      <c r="F10" s="219">
        <f t="shared" si="2"/>
        <v>2551235</v>
      </c>
      <c r="G10" s="219">
        <f t="shared" si="3"/>
        <v>2829365</v>
      </c>
      <c r="H10" s="219">
        <f t="shared" si="4"/>
        <v>3160386</v>
      </c>
      <c r="I10" s="220"/>
      <c r="J10" s="219">
        <v>13012728</v>
      </c>
      <c r="K10" s="219">
        <v>2551235</v>
      </c>
      <c r="L10" s="219">
        <v>2829365</v>
      </c>
      <c r="M10" s="219">
        <v>3160386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5.95" customHeight="1">
      <c r="A11" s="16">
        <v>6</v>
      </c>
      <c r="B11" s="161" t="s">
        <v>269</v>
      </c>
      <c r="C11" s="163" t="s">
        <v>270</v>
      </c>
      <c r="D11" s="16">
        <v>1</v>
      </c>
      <c r="E11" s="219">
        <f t="shared" si="1"/>
        <v>34541040</v>
      </c>
      <c r="F11" s="219">
        <f t="shared" si="2"/>
        <v>7919157</v>
      </c>
      <c r="G11" s="219">
        <f t="shared" si="3"/>
        <v>3596843</v>
      </c>
      <c r="H11" s="219">
        <f t="shared" si="4"/>
        <v>0</v>
      </c>
      <c r="I11" s="220"/>
      <c r="J11" s="219">
        <v>34541040</v>
      </c>
      <c r="K11" s="219">
        <v>7919157</v>
      </c>
      <c r="L11" s="219">
        <v>3596843</v>
      </c>
      <c r="M11" s="219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s="164" customFormat="1" ht="15.95" customHeight="1">
      <c r="B12" s="164" t="s">
        <v>271</v>
      </c>
      <c r="D12" s="225">
        <f>SUM(D6:D11)</f>
        <v>5.5</v>
      </c>
      <c r="E12" s="221">
        <f>SUM(E6:E11)</f>
        <v>127892182</v>
      </c>
      <c r="F12" s="221">
        <f>SUM(F6:F11)</f>
        <v>30533029</v>
      </c>
      <c r="G12" s="221">
        <f>SUM(G6:G11)</f>
        <v>20158337</v>
      </c>
      <c r="H12" s="221">
        <f>SUM(H6:H11)</f>
        <v>20652461</v>
      </c>
      <c r="I12" s="221"/>
      <c r="J12" s="221"/>
      <c r="K12" s="221"/>
      <c r="L12" s="221"/>
      <c r="M12" s="221"/>
    </row>
    <row r="13" spans="1:57" ht="15.95" customHeight="1">
      <c r="B13" s="231" t="s">
        <v>361</v>
      </c>
      <c r="E13" s="220"/>
      <c r="F13" s="220"/>
      <c r="G13" s="220"/>
      <c r="H13" s="220"/>
      <c r="I13" s="220"/>
      <c r="J13" s="379" t="s">
        <v>360</v>
      </c>
      <c r="K13" s="380"/>
      <c r="L13" s="380"/>
      <c r="M13" s="380"/>
      <c r="N13" s="377" t="s">
        <v>307</v>
      </c>
      <c r="O13" s="378"/>
      <c r="P13" s="378"/>
      <c r="Q13" s="378"/>
      <c r="R13" s="377" t="s">
        <v>311</v>
      </c>
      <c r="S13" s="378"/>
      <c r="T13" s="378"/>
      <c r="U13" s="378"/>
      <c r="V13" s="377" t="s">
        <v>312</v>
      </c>
      <c r="W13" s="378"/>
      <c r="X13" s="378"/>
      <c r="Y13" s="378"/>
      <c r="Z13" s="377" t="s">
        <v>313</v>
      </c>
      <c r="AA13" s="378"/>
      <c r="AB13" s="378"/>
      <c r="AC13" s="378"/>
      <c r="AD13" s="377" t="s">
        <v>314</v>
      </c>
      <c r="AE13" s="378"/>
      <c r="AF13" s="378"/>
      <c r="AG13" s="378"/>
      <c r="AH13" s="377" t="s">
        <v>315</v>
      </c>
      <c r="AI13" s="378"/>
      <c r="AJ13" s="378"/>
      <c r="AK13" s="378"/>
      <c r="AL13" s="377" t="s">
        <v>316</v>
      </c>
      <c r="AM13" s="378"/>
      <c r="AN13" s="378"/>
      <c r="AO13" s="378"/>
      <c r="AP13" s="377" t="s">
        <v>317</v>
      </c>
      <c r="AQ13" s="378"/>
      <c r="AR13" s="378"/>
      <c r="AS13" s="378"/>
      <c r="AT13" s="377" t="s">
        <v>318</v>
      </c>
      <c r="AU13" s="378"/>
      <c r="AV13" s="378"/>
      <c r="AW13" s="378"/>
      <c r="AX13" s="377" t="s">
        <v>319</v>
      </c>
      <c r="AY13" s="378"/>
      <c r="AZ13" s="378"/>
      <c r="BA13" s="378"/>
      <c r="BB13" s="377" t="s">
        <v>320</v>
      </c>
      <c r="BC13" s="378"/>
      <c r="BD13" s="378"/>
      <c r="BE13" s="378"/>
    </row>
    <row r="14" spans="1:57" ht="15.95" customHeight="1">
      <c r="B14" s="160"/>
      <c r="E14" s="220"/>
      <c r="F14" s="220"/>
      <c r="G14" s="220"/>
      <c r="H14" s="220"/>
      <c r="I14" s="220"/>
      <c r="J14" s="222" t="s">
        <v>261</v>
      </c>
      <c r="K14" s="223" t="s">
        <v>308</v>
      </c>
      <c r="L14" s="223" t="s">
        <v>309</v>
      </c>
      <c r="M14" s="223" t="s">
        <v>310</v>
      </c>
      <c r="N14" s="163" t="s">
        <v>261</v>
      </c>
      <c r="O14" s="161" t="s">
        <v>308</v>
      </c>
      <c r="P14" s="161" t="s">
        <v>309</v>
      </c>
      <c r="Q14" s="161" t="s">
        <v>310</v>
      </c>
      <c r="R14" s="163" t="s">
        <v>261</v>
      </c>
      <c r="S14" s="161" t="s">
        <v>308</v>
      </c>
      <c r="T14" s="161" t="s">
        <v>309</v>
      </c>
      <c r="U14" s="161" t="s">
        <v>310</v>
      </c>
      <c r="V14" s="163" t="s">
        <v>261</v>
      </c>
      <c r="W14" s="161" t="s">
        <v>308</v>
      </c>
      <c r="X14" s="161" t="s">
        <v>309</v>
      </c>
      <c r="Y14" s="161" t="s">
        <v>310</v>
      </c>
      <c r="Z14" s="163" t="s">
        <v>261</v>
      </c>
      <c r="AA14" s="161" t="s">
        <v>308</v>
      </c>
      <c r="AB14" s="161" t="s">
        <v>309</v>
      </c>
      <c r="AC14" s="161" t="s">
        <v>310</v>
      </c>
      <c r="AD14" s="163" t="s">
        <v>261</v>
      </c>
      <c r="AE14" s="161" t="s">
        <v>308</v>
      </c>
      <c r="AF14" s="161" t="s">
        <v>309</v>
      </c>
      <c r="AG14" s="161" t="s">
        <v>310</v>
      </c>
      <c r="AH14" s="163" t="s">
        <v>261</v>
      </c>
      <c r="AI14" s="161" t="s">
        <v>308</v>
      </c>
      <c r="AJ14" s="161" t="s">
        <v>309</v>
      </c>
      <c r="AK14" s="161" t="s">
        <v>310</v>
      </c>
      <c r="AL14" s="163" t="s">
        <v>261</v>
      </c>
      <c r="AM14" s="161" t="s">
        <v>308</v>
      </c>
      <c r="AN14" s="161" t="s">
        <v>309</v>
      </c>
      <c r="AO14" s="161" t="s">
        <v>310</v>
      </c>
      <c r="AP14" s="163" t="s">
        <v>261</v>
      </c>
      <c r="AQ14" s="161" t="s">
        <v>308</v>
      </c>
      <c r="AR14" s="161" t="s">
        <v>309</v>
      </c>
      <c r="AS14" s="161" t="s">
        <v>310</v>
      </c>
      <c r="AT14" s="163" t="s">
        <v>261</v>
      </c>
      <c r="AU14" s="161" t="s">
        <v>308</v>
      </c>
      <c r="AV14" s="161" t="s">
        <v>309</v>
      </c>
      <c r="AW14" s="161" t="s">
        <v>310</v>
      </c>
      <c r="AX14" s="163" t="s">
        <v>261</v>
      </c>
      <c r="AY14" s="161" t="s">
        <v>308</v>
      </c>
      <c r="AZ14" s="161" t="s">
        <v>309</v>
      </c>
      <c r="BA14" s="161" t="s">
        <v>310</v>
      </c>
      <c r="BB14" s="163" t="s">
        <v>261</v>
      </c>
      <c r="BC14" s="161" t="s">
        <v>308</v>
      </c>
      <c r="BD14" s="161" t="s">
        <v>309</v>
      </c>
      <c r="BE14" s="161" t="s">
        <v>310</v>
      </c>
    </row>
    <row r="15" spans="1:57" ht="15.95" customHeight="1">
      <c r="A15" s="16">
        <v>1</v>
      </c>
      <c r="B15" s="161" t="s">
        <v>273</v>
      </c>
      <c r="C15" s="165" t="s">
        <v>274</v>
      </c>
      <c r="D15" s="16">
        <v>1</v>
      </c>
      <c r="E15" s="219">
        <f>SUM(J15,N15,R15,V15,Z15,AD15,AH15,AL15,AP15,AT15,AX15,BB15)</f>
        <v>43427356</v>
      </c>
      <c r="F15" s="219">
        <f t="shared" ref="F15:H29" si="5">SUM(K15,O15,S15,W15,AA15,AE15,AI15,AM15,AQ15,AU15,AY15,BC15)</f>
        <v>0</v>
      </c>
      <c r="G15" s="219">
        <f t="shared" si="5"/>
        <v>9368074</v>
      </c>
      <c r="H15" s="219">
        <f t="shared" si="5"/>
        <v>19130707</v>
      </c>
      <c r="I15" s="220"/>
      <c r="J15" s="219">
        <v>43427356</v>
      </c>
      <c r="K15" s="219">
        <v>0</v>
      </c>
      <c r="L15" s="219">
        <v>9368074</v>
      </c>
      <c r="M15" s="219">
        <v>19130707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24.95" customHeight="1">
      <c r="A16" s="16">
        <v>2</v>
      </c>
      <c r="B16" s="161" t="s">
        <v>275</v>
      </c>
      <c r="C16" s="165" t="s">
        <v>276</v>
      </c>
      <c r="D16" s="16">
        <v>1.5</v>
      </c>
      <c r="E16" s="219">
        <f>SUM(J16,N16,R16,V16,Z16,AD16,AH16,AL16,AP16,AT16,AX16,BB16)</f>
        <v>39646955</v>
      </c>
      <c r="F16" s="219">
        <f>SUM(K16,O16,S16,W16,AA16,AE16,AI16,AM16,AQ16,AU16,AY16,BC16)</f>
        <v>10490216</v>
      </c>
      <c r="G16" s="219">
        <f t="shared" si="5"/>
        <v>5059345</v>
      </c>
      <c r="H16" s="219">
        <f t="shared" si="5"/>
        <v>8178228</v>
      </c>
      <c r="I16" s="220"/>
      <c r="J16" s="219">
        <v>39646955</v>
      </c>
      <c r="K16" s="219">
        <v>10490216</v>
      </c>
      <c r="L16" s="219">
        <v>5059345</v>
      </c>
      <c r="M16" s="219">
        <v>8178228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8" ht="24.95" customHeight="1">
      <c r="A17" s="16">
        <v>3</v>
      </c>
      <c r="B17" s="161" t="s">
        <v>277</v>
      </c>
      <c r="C17" s="165" t="s">
        <v>291</v>
      </c>
      <c r="D17" s="16">
        <v>1</v>
      </c>
      <c r="E17" s="219">
        <f t="shared" ref="E17:E29" si="6">SUM(J17,N17,R17,V17,Z17,AD17,AH17,AL17,AP17,AT17,AX17,BB17)</f>
        <v>27924300</v>
      </c>
      <c r="F17" s="219">
        <f t="shared" si="5"/>
        <v>6357390</v>
      </c>
      <c r="G17" s="219">
        <f t="shared" si="5"/>
        <v>3391560</v>
      </c>
      <c r="H17" s="219">
        <f t="shared" si="5"/>
        <v>0</v>
      </c>
      <c r="I17" s="220"/>
      <c r="J17" s="219">
        <v>27924300</v>
      </c>
      <c r="K17" s="219">
        <v>6357390</v>
      </c>
      <c r="L17" s="219">
        <v>3391560</v>
      </c>
      <c r="M17" s="219">
        <v>0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8" ht="24.95" customHeight="1">
      <c r="A18" s="16">
        <v>4</v>
      </c>
      <c r="B18" s="161" t="s">
        <v>278</v>
      </c>
      <c r="C18" s="165" t="s">
        <v>291</v>
      </c>
      <c r="D18" s="16">
        <v>1</v>
      </c>
      <c r="E18" s="219">
        <f t="shared" si="6"/>
        <v>24144785</v>
      </c>
      <c r="F18" s="219">
        <f t="shared" si="5"/>
        <v>3909483</v>
      </c>
      <c r="G18" s="219">
        <f t="shared" si="5"/>
        <v>2975430</v>
      </c>
      <c r="H18" s="219">
        <f t="shared" si="5"/>
        <v>0</v>
      </c>
      <c r="I18" s="220"/>
      <c r="J18" s="219">
        <v>24144785</v>
      </c>
      <c r="K18" s="219">
        <v>3909483</v>
      </c>
      <c r="L18" s="219">
        <v>2975430</v>
      </c>
      <c r="M18" s="219">
        <v>0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8" ht="27" customHeight="1">
      <c r="A19" s="16">
        <v>5</v>
      </c>
      <c r="B19" s="161" t="s">
        <v>279</v>
      </c>
      <c r="C19" s="165" t="s">
        <v>291</v>
      </c>
      <c r="D19" s="16">
        <v>1</v>
      </c>
      <c r="E19" s="219">
        <f t="shared" si="6"/>
        <v>25293676</v>
      </c>
      <c r="F19" s="219">
        <f t="shared" si="5"/>
        <v>6844115</v>
      </c>
      <c r="G19" s="219">
        <f t="shared" si="5"/>
        <v>3398002</v>
      </c>
      <c r="H19" s="219">
        <f t="shared" si="5"/>
        <v>0</v>
      </c>
      <c r="I19" s="220"/>
      <c r="J19" s="219">
        <v>25293676</v>
      </c>
      <c r="K19" s="219">
        <v>6844115</v>
      </c>
      <c r="L19" s="219">
        <v>3398002</v>
      </c>
      <c r="M19" s="219">
        <v>0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8" ht="29.25" customHeight="1">
      <c r="A20" s="16">
        <v>6</v>
      </c>
      <c r="B20" s="161" t="s">
        <v>280</v>
      </c>
      <c r="C20" s="165" t="s">
        <v>291</v>
      </c>
      <c r="D20" s="16">
        <v>1</v>
      </c>
      <c r="E20" s="219">
        <f t="shared" si="6"/>
        <v>21044064</v>
      </c>
      <c r="F20" s="219">
        <f t="shared" si="5"/>
        <v>4599541</v>
      </c>
      <c r="G20" s="219">
        <f t="shared" si="5"/>
        <v>1224256</v>
      </c>
      <c r="H20" s="219">
        <f t="shared" si="5"/>
        <v>0</v>
      </c>
      <c r="I20" s="220"/>
      <c r="J20" s="219">
        <v>21044064</v>
      </c>
      <c r="K20" s="219">
        <v>4599541</v>
      </c>
      <c r="L20" s="219">
        <v>1224256</v>
      </c>
      <c r="M20" s="219">
        <v>0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8" ht="24.95" customHeight="1">
      <c r="A21" s="16">
        <v>7</v>
      </c>
      <c r="B21" s="161" t="s">
        <v>281</v>
      </c>
      <c r="C21" s="165" t="s">
        <v>291</v>
      </c>
      <c r="D21" s="16">
        <v>1</v>
      </c>
      <c r="E21" s="219">
        <f t="shared" si="6"/>
        <v>19926038</v>
      </c>
      <c r="F21" s="219">
        <f t="shared" si="5"/>
        <v>4401663</v>
      </c>
      <c r="G21" s="219">
        <f t="shared" si="5"/>
        <v>2860326</v>
      </c>
      <c r="H21" s="219">
        <f t="shared" si="5"/>
        <v>0</v>
      </c>
      <c r="I21" s="220"/>
      <c r="J21" s="219">
        <v>19926038</v>
      </c>
      <c r="K21" s="219">
        <v>4401663</v>
      </c>
      <c r="L21" s="219">
        <v>2860326</v>
      </c>
      <c r="M21" s="219">
        <v>0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8" ht="24.95" customHeight="1">
      <c r="A22" s="16">
        <v>8</v>
      </c>
      <c r="B22" s="161" t="s">
        <v>282</v>
      </c>
      <c r="C22" s="165" t="s">
        <v>291</v>
      </c>
      <c r="D22" s="16">
        <v>1</v>
      </c>
      <c r="E22" s="219">
        <f t="shared" si="6"/>
        <v>23730757</v>
      </c>
      <c r="F22" s="219">
        <f t="shared" si="5"/>
        <v>5293251</v>
      </c>
      <c r="G22" s="219">
        <f t="shared" si="5"/>
        <v>3367634</v>
      </c>
      <c r="H22" s="219">
        <f t="shared" si="5"/>
        <v>0</v>
      </c>
      <c r="I22" s="220"/>
      <c r="J22" s="219">
        <v>23730757</v>
      </c>
      <c r="K22" s="219">
        <v>5293251</v>
      </c>
      <c r="L22" s="219">
        <v>3367634</v>
      </c>
      <c r="M22" s="219">
        <v>0</v>
      </c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8" ht="24.95" customHeight="1">
      <c r="A23" s="16">
        <v>9</v>
      </c>
      <c r="B23" s="161" t="s">
        <v>283</v>
      </c>
      <c r="C23" s="165" t="s">
        <v>291</v>
      </c>
      <c r="D23" s="16">
        <v>1</v>
      </c>
      <c r="E23" s="219">
        <f t="shared" si="6"/>
        <v>22677591</v>
      </c>
      <c r="F23" s="219">
        <f t="shared" si="5"/>
        <v>5129843</v>
      </c>
      <c r="G23" s="219">
        <f t="shared" si="5"/>
        <v>3191482</v>
      </c>
      <c r="H23" s="219">
        <f t="shared" si="5"/>
        <v>0</v>
      </c>
      <c r="I23" s="220"/>
      <c r="J23" s="219">
        <v>22677591</v>
      </c>
      <c r="K23" s="219">
        <v>5129843</v>
      </c>
      <c r="L23" s="219">
        <v>3191482</v>
      </c>
      <c r="M23" s="219">
        <v>0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8" ht="24.95" customHeight="1">
      <c r="A24" s="16">
        <v>10</v>
      </c>
      <c r="B24" s="161" t="s">
        <v>284</v>
      </c>
      <c r="C24" s="165" t="s">
        <v>291</v>
      </c>
      <c r="D24" s="16">
        <v>1</v>
      </c>
      <c r="E24" s="219">
        <f t="shared" si="6"/>
        <v>26053884</v>
      </c>
      <c r="F24" s="219">
        <f t="shared" si="5"/>
        <v>5618028</v>
      </c>
      <c r="G24" s="219">
        <f t="shared" si="5"/>
        <v>0</v>
      </c>
      <c r="H24" s="219">
        <f t="shared" si="5"/>
        <v>0</v>
      </c>
      <c r="I24" s="220"/>
      <c r="J24" s="219">
        <v>26053884</v>
      </c>
      <c r="K24" s="219">
        <v>5618028</v>
      </c>
      <c r="L24" s="219">
        <v>0</v>
      </c>
      <c r="M24" s="219">
        <v>0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8" ht="24.95" customHeight="1">
      <c r="A25" s="16">
        <v>11</v>
      </c>
      <c r="B25" s="161" t="s">
        <v>285</v>
      </c>
      <c r="C25" s="165" t="s">
        <v>291</v>
      </c>
      <c r="D25" s="16">
        <v>1</v>
      </c>
      <c r="E25" s="219">
        <f t="shared" si="6"/>
        <v>12216729</v>
      </c>
      <c r="F25" s="219">
        <f t="shared" si="5"/>
        <v>2196714</v>
      </c>
      <c r="G25" s="219">
        <f t="shared" si="5"/>
        <v>0</v>
      </c>
      <c r="H25" s="219">
        <f t="shared" si="5"/>
        <v>0</v>
      </c>
      <c r="I25" s="220"/>
      <c r="J25" s="219">
        <v>12216729</v>
      </c>
      <c r="K25" s="219">
        <v>2196714</v>
      </c>
      <c r="L25" s="219">
        <v>0</v>
      </c>
      <c r="M25" s="219">
        <v>0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8" ht="27.75" customHeight="1">
      <c r="A26" s="16">
        <v>12</v>
      </c>
      <c r="B26" s="171" t="s">
        <v>323</v>
      </c>
      <c r="C26" s="172" t="s">
        <v>291</v>
      </c>
      <c r="D26" s="16">
        <v>1</v>
      </c>
      <c r="E26" s="219">
        <f t="shared" si="6"/>
        <v>17078148</v>
      </c>
      <c r="F26" s="219">
        <f t="shared" si="5"/>
        <v>9661470</v>
      </c>
      <c r="G26" s="219">
        <f t="shared" si="5"/>
        <v>0</v>
      </c>
      <c r="H26" s="219">
        <f t="shared" si="5"/>
        <v>0</v>
      </c>
      <c r="I26" s="220"/>
      <c r="J26" s="219">
        <v>17078148</v>
      </c>
      <c r="K26" s="219">
        <v>9661470</v>
      </c>
      <c r="L26" s="219">
        <v>0</v>
      </c>
      <c r="M26" s="219">
        <v>0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86"/>
    </row>
    <row r="27" spans="1:58" ht="26.25" customHeight="1">
      <c r="A27" s="16">
        <v>13</v>
      </c>
      <c r="B27" s="161" t="s">
        <v>286</v>
      </c>
      <c r="C27" s="165" t="s">
        <v>276</v>
      </c>
      <c r="D27" s="16">
        <v>1</v>
      </c>
      <c r="E27" s="219">
        <f t="shared" si="6"/>
        <v>24265011</v>
      </c>
      <c r="F27" s="219">
        <f t="shared" si="5"/>
        <v>6092667</v>
      </c>
      <c r="G27" s="219">
        <f t="shared" si="5"/>
        <v>3683064</v>
      </c>
      <c r="H27" s="219">
        <f t="shared" si="5"/>
        <v>177115</v>
      </c>
      <c r="I27" s="220"/>
      <c r="J27" s="219">
        <v>24265011</v>
      </c>
      <c r="K27" s="219">
        <v>6092667</v>
      </c>
      <c r="L27" s="219">
        <v>3683064</v>
      </c>
      <c r="M27" s="219">
        <v>177115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8" ht="24" customHeight="1">
      <c r="A28" s="16">
        <v>14</v>
      </c>
      <c r="B28" s="161" t="s">
        <v>306</v>
      </c>
      <c r="C28" s="165" t="s">
        <v>276</v>
      </c>
      <c r="D28" s="16">
        <v>1</v>
      </c>
      <c r="E28" s="219">
        <f t="shared" si="6"/>
        <v>28094068</v>
      </c>
      <c r="F28" s="219">
        <f t="shared" si="5"/>
        <v>7105626</v>
      </c>
      <c r="G28" s="219">
        <f t="shared" si="5"/>
        <v>3377787</v>
      </c>
      <c r="H28" s="219">
        <f t="shared" si="5"/>
        <v>0</v>
      </c>
      <c r="I28" s="220"/>
      <c r="J28" s="219">
        <v>28094068</v>
      </c>
      <c r="K28" s="219">
        <v>7105626</v>
      </c>
      <c r="L28" s="219">
        <v>3377787</v>
      </c>
      <c r="M28" s="219">
        <v>0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8" ht="25.5" customHeight="1">
      <c r="A29" s="16">
        <v>15</v>
      </c>
      <c r="B29" s="161" t="s">
        <v>287</v>
      </c>
      <c r="C29" s="165" t="s">
        <v>276</v>
      </c>
      <c r="D29" s="16">
        <v>1</v>
      </c>
      <c r="E29" s="219">
        <f t="shared" si="6"/>
        <v>25609020</v>
      </c>
      <c r="F29" s="219">
        <f t="shared" si="5"/>
        <v>8422846</v>
      </c>
      <c r="G29" s="219">
        <f>SUM(L29,P29,T29,X29,AB29,AF29,AJ29,AN29,AR29,AV29,AZ29,BD29)</f>
        <v>3384429</v>
      </c>
      <c r="H29" s="219">
        <f t="shared" si="5"/>
        <v>0</v>
      </c>
      <c r="I29" s="220"/>
      <c r="J29" s="219">
        <v>25609020</v>
      </c>
      <c r="K29" s="219">
        <v>8422846</v>
      </c>
      <c r="L29" s="219">
        <v>3384429</v>
      </c>
      <c r="M29" s="219">
        <v>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8" s="164" customFormat="1" ht="15.95" customHeight="1">
      <c r="B30" s="164" t="s">
        <v>288</v>
      </c>
      <c r="D30" s="164">
        <f>SUM(D15:D29)</f>
        <v>15.5</v>
      </c>
      <c r="E30" s="164">
        <f>SUM(E15:E29)</f>
        <v>381132382</v>
      </c>
      <c r="F30" s="226">
        <f>SUM(F15:F29)</f>
        <v>86122853</v>
      </c>
      <c r="G30" s="164">
        <f>SUM(G15:G29)</f>
        <v>45281389</v>
      </c>
      <c r="H30" s="164">
        <f>SUM(H15:H29)</f>
        <v>27486050</v>
      </c>
    </row>
    <row r="32" spans="1:58">
      <c r="G32" s="249"/>
    </row>
  </sheetData>
  <mergeCells count="24">
    <mergeCell ref="AX4:BA4"/>
    <mergeCell ref="BB4:BE4"/>
    <mergeCell ref="AD4:AG4"/>
    <mergeCell ref="AH4:AK4"/>
    <mergeCell ref="AL4:AO4"/>
    <mergeCell ref="AP4:AS4"/>
    <mergeCell ref="AT4:AW4"/>
    <mergeCell ref="J4:M4"/>
    <mergeCell ref="N4:Q4"/>
    <mergeCell ref="R4:U4"/>
    <mergeCell ref="V4:Y4"/>
    <mergeCell ref="Z4:AC4"/>
    <mergeCell ref="BB13:BE13"/>
    <mergeCell ref="J13:M13"/>
    <mergeCell ref="N13:Q13"/>
    <mergeCell ref="R13:U13"/>
    <mergeCell ref="V13:Y13"/>
    <mergeCell ref="Z13:AC13"/>
    <mergeCell ref="AD13:AG13"/>
    <mergeCell ref="AH13:AK13"/>
    <mergeCell ref="AL13:AO13"/>
    <mergeCell ref="AP13:AS13"/>
    <mergeCell ref="AT13:AW13"/>
    <mergeCell ref="AX13:BA13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C9" sqref="C9:D9"/>
    </sheetView>
  </sheetViews>
  <sheetFormatPr defaultRowHeight="12.75"/>
  <cols>
    <col min="1" max="1" width="7.42578125" customWidth="1"/>
    <col min="2" max="2" width="26.42578125" customWidth="1"/>
    <col min="3" max="3" width="23.42578125" customWidth="1"/>
    <col min="4" max="4" width="22.42578125" customWidth="1"/>
    <col min="5" max="5" width="26.5703125" customWidth="1"/>
    <col min="6" max="6" width="19.42578125" hidden="1" customWidth="1"/>
    <col min="7" max="7" width="18.28515625" hidden="1" customWidth="1"/>
  </cols>
  <sheetData>
    <row r="1" spans="1:10" ht="15">
      <c r="D1" s="384" t="s">
        <v>7</v>
      </c>
      <c r="E1" s="317"/>
      <c r="F1" s="382"/>
      <c r="G1" s="382"/>
      <c r="H1" s="382"/>
      <c r="I1" s="382"/>
      <c r="J1" s="382"/>
    </row>
    <row r="2" spans="1:10" ht="15">
      <c r="D2" s="384" t="s">
        <v>401</v>
      </c>
      <c r="E2" s="317"/>
      <c r="F2" s="382"/>
      <c r="G2" s="382"/>
      <c r="H2" s="382"/>
      <c r="I2" s="382"/>
      <c r="J2" s="382"/>
    </row>
    <row r="3" spans="1:10" ht="15">
      <c r="D3" s="384" t="s">
        <v>341</v>
      </c>
      <c r="E3" s="317"/>
      <c r="F3" s="382"/>
      <c r="G3" s="382"/>
      <c r="H3" s="382"/>
      <c r="I3" s="382"/>
      <c r="J3" s="382"/>
    </row>
    <row r="4" spans="1:10" ht="15">
      <c r="D4" s="192" t="s">
        <v>405</v>
      </c>
      <c r="E4" s="192"/>
      <c r="F4" s="192"/>
      <c r="G4" s="192"/>
      <c r="H4" s="192"/>
      <c r="I4" s="192"/>
      <c r="J4" s="192"/>
    </row>
    <row r="5" spans="1:10" ht="15">
      <c r="D5" s="192" t="s">
        <v>400</v>
      </c>
      <c r="E5" s="192"/>
      <c r="F5" s="192"/>
      <c r="G5" s="192"/>
      <c r="H5" s="192"/>
      <c r="I5" s="192"/>
      <c r="J5" s="192"/>
    </row>
    <row r="6" spans="1:10" ht="15">
      <c r="D6" s="317"/>
      <c r="E6" s="317"/>
      <c r="F6" s="192"/>
      <c r="G6" s="192"/>
      <c r="H6" s="192"/>
      <c r="I6" s="192"/>
      <c r="J6" s="192"/>
    </row>
    <row r="7" spans="1:10" ht="12" customHeight="1">
      <c r="A7" s="192"/>
      <c r="B7" s="192"/>
      <c r="C7" s="258" t="s">
        <v>343</v>
      </c>
      <c r="D7" s="258"/>
      <c r="E7" s="254"/>
      <c r="F7" s="192"/>
    </row>
    <row r="8" spans="1:10" ht="38.25" customHeight="1">
      <c r="A8" s="381" t="s">
        <v>389</v>
      </c>
      <c r="B8" s="381"/>
      <c r="C8" s="381"/>
      <c r="D8" s="381"/>
      <c r="E8" s="381"/>
      <c r="F8" s="381"/>
    </row>
    <row r="9" spans="1:10" ht="15.75">
      <c r="C9" s="383" t="s">
        <v>403</v>
      </c>
      <c r="D9" s="383"/>
    </row>
    <row r="10" spans="1:10" s="189" customFormat="1" ht="60">
      <c r="A10" s="190" t="s">
        <v>325</v>
      </c>
      <c r="B10" s="190" t="s">
        <v>326</v>
      </c>
      <c r="C10" s="190" t="s">
        <v>327</v>
      </c>
      <c r="D10" s="190" t="s">
        <v>392</v>
      </c>
      <c r="E10" s="190" t="s">
        <v>390</v>
      </c>
      <c r="F10" s="261" t="s">
        <v>388</v>
      </c>
      <c r="G10" s="260" t="s">
        <v>391</v>
      </c>
    </row>
    <row r="11" spans="1:10" s="170" customFormat="1" ht="15">
      <c r="A11" s="199" t="s">
        <v>119</v>
      </c>
      <c r="B11" s="190" t="s">
        <v>120</v>
      </c>
      <c r="C11" s="190" t="s">
        <v>74</v>
      </c>
      <c r="D11" s="263">
        <v>4.5</v>
      </c>
      <c r="E11" s="256">
        <v>5.4</v>
      </c>
      <c r="F11" s="262">
        <v>1.44E-2</v>
      </c>
      <c r="G11" s="253">
        <f>E11+F11</f>
        <v>5.4144000000000005</v>
      </c>
    </row>
    <row r="12" spans="1:10" s="170" customFormat="1" ht="15">
      <c r="A12" s="199" t="s">
        <v>121</v>
      </c>
      <c r="B12" s="190" t="s">
        <v>122</v>
      </c>
      <c r="C12" s="190" t="s">
        <v>74</v>
      </c>
      <c r="D12" s="263">
        <v>7.37</v>
      </c>
      <c r="E12" s="256">
        <v>8.84</v>
      </c>
      <c r="F12" s="262">
        <v>5.7500000000000002E-2</v>
      </c>
      <c r="G12" s="253">
        <f t="shared" ref="G12:G16" si="0">E12+F12</f>
        <v>8.8974999999999991</v>
      </c>
    </row>
    <row r="13" spans="1:10" s="170" customFormat="1" ht="45">
      <c r="A13" s="199" t="s">
        <v>123</v>
      </c>
      <c r="B13" s="190" t="s">
        <v>124</v>
      </c>
      <c r="C13" s="190" t="s">
        <v>74</v>
      </c>
      <c r="D13" s="263">
        <v>8.8000000000000007</v>
      </c>
      <c r="E13" s="256">
        <v>10.56</v>
      </c>
      <c r="F13" s="262">
        <v>8.6199999999999999E-2</v>
      </c>
      <c r="G13" s="253">
        <f t="shared" si="0"/>
        <v>10.6462</v>
      </c>
    </row>
    <row r="14" spans="1:10" s="170" customFormat="1" ht="45">
      <c r="A14" s="199" t="s">
        <v>125</v>
      </c>
      <c r="B14" s="190" t="s">
        <v>126</v>
      </c>
      <c r="C14" s="190" t="s">
        <v>74</v>
      </c>
      <c r="D14" s="190">
        <v>11.47</v>
      </c>
      <c r="E14" s="256">
        <v>13.76</v>
      </c>
      <c r="F14" s="262">
        <v>0.1149</v>
      </c>
      <c r="G14" s="253">
        <f t="shared" si="0"/>
        <v>13.8749</v>
      </c>
    </row>
    <row r="15" spans="1:10" s="170" customFormat="1" ht="15">
      <c r="A15" s="199" t="s">
        <v>127</v>
      </c>
      <c r="B15" s="191" t="s">
        <v>129</v>
      </c>
      <c r="C15" s="190" t="s">
        <v>74</v>
      </c>
      <c r="D15" s="263">
        <v>8.8000000000000007</v>
      </c>
      <c r="E15" s="256">
        <v>10.56</v>
      </c>
      <c r="F15" s="262">
        <v>0.2873</v>
      </c>
      <c r="G15" s="253">
        <f t="shared" si="0"/>
        <v>10.847300000000001</v>
      </c>
    </row>
    <row r="16" spans="1:10" s="170" customFormat="1" ht="15">
      <c r="A16" s="199" t="s">
        <v>128</v>
      </c>
      <c r="B16" s="191" t="s">
        <v>130</v>
      </c>
      <c r="C16" s="190" t="s">
        <v>74</v>
      </c>
      <c r="D16" s="263">
        <v>14.67</v>
      </c>
      <c r="E16" s="256">
        <v>17.600000000000001</v>
      </c>
      <c r="F16" s="262">
        <v>0.3352</v>
      </c>
      <c r="G16" s="253">
        <f t="shared" si="0"/>
        <v>17.935200000000002</v>
      </c>
    </row>
    <row r="17" spans="2:9">
      <c r="I17" t="s">
        <v>404</v>
      </c>
    </row>
    <row r="18" spans="2:9" ht="18.75" customHeight="1">
      <c r="B18" s="259"/>
      <c r="C18" s="259"/>
      <c r="D18" s="259"/>
      <c r="E18" s="259"/>
      <c r="F18" s="192"/>
    </row>
    <row r="19" spans="2:9" ht="17.25" customHeight="1">
      <c r="B19" s="192"/>
      <c r="C19" s="234"/>
      <c r="D19" s="234"/>
      <c r="E19" s="192"/>
      <c r="F19" s="192"/>
    </row>
    <row r="20" spans="2:9" ht="15">
      <c r="B20" s="192"/>
      <c r="C20" s="257"/>
      <c r="D20" s="257"/>
      <c r="E20" s="192"/>
      <c r="F20" s="192"/>
    </row>
    <row r="21" spans="2:9" ht="15">
      <c r="B21" s="192"/>
      <c r="C21" s="192"/>
      <c r="D21" s="192"/>
      <c r="E21" s="192"/>
      <c r="F21" s="192"/>
    </row>
    <row r="22" spans="2:9" ht="15">
      <c r="B22" s="192" t="s">
        <v>342</v>
      </c>
      <c r="E22" s="192" t="s">
        <v>396</v>
      </c>
    </row>
  </sheetData>
  <mergeCells count="9">
    <mergeCell ref="A8:F8"/>
    <mergeCell ref="F1:J1"/>
    <mergeCell ref="F2:J2"/>
    <mergeCell ref="F3:J3"/>
    <mergeCell ref="C9:D9"/>
    <mergeCell ref="D1:E1"/>
    <mergeCell ref="D2:E2"/>
    <mergeCell ref="D3:E3"/>
    <mergeCell ref="D6:E6"/>
  </mergeCells>
  <pageMargins left="0.51181102362204722" right="0.51181102362204722" top="0.55118110236220474" bottom="0.55118110236220474" header="0.31496062992125984" footer="0.31496062992125984"/>
  <pageSetup paperSize="9" scale="9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3"/>
  <sheetViews>
    <sheetView topLeftCell="A16" workbookViewId="0">
      <selection activeCell="H19" sqref="H19"/>
    </sheetView>
  </sheetViews>
  <sheetFormatPr defaultRowHeight="12.75"/>
  <cols>
    <col min="1" max="1" width="5" customWidth="1"/>
    <col min="2" max="2" width="34.85546875" customWidth="1"/>
    <col min="3" max="3" width="12.42578125" style="26" customWidth="1"/>
    <col min="4" max="4" width="17.5703125" style="26" customWidth="1"/>
    <col min="5" max="5" width="11.140625" style="26" customWidth="1"/>
  </cols>
  <sheetData>
    <row r="1" spans="1:8" ht="15">
      <c r="C1" s="197"/>
      <c r="D1" s="387" t="s">
        <v>7</v>
      </c>
      <c r="E1" s="387"/>
    </row>
    <row r="2" spans="1:8" ht="15">
      <c r="C2" s="197"/>
      <c r="D2" s="389" t="s">
        <v>170</v>
      </c>
      <c r="E2" s="389"/>
    </row>
    <row r="3" spans="1:8" ht="15">
      <c r="C3" s="197"/>
      <c r="D3" s="389" t="s">
        <v>334</v>
      </c>
      <c r="E3" s="389"/>
    </row>
    <row r="4" spans="1:8" ht="15">
      <c r="C4" s="386" t="s">
        <v>335</v>
      </c>
      <c r="D4" s="386"/>
      <c r="E4" s="386"/>
    </row>
    <row r="5" spans="1:8" ht="15">
      <c r="C5" s="198"/>
      <c r="D5" s="388" t="s">
        <v>375</v>
      </c>
      <c r="E5" s="388"/>
    </row>
    <row r="6" spans="1:8">
      <c r="C6" s="195"/>
      <c r="D6" s="195"/>
      <c r="E6" s="196"/>
    </row>
    <row r="7" spans="1:8" ht="15.75">
      <c r="B7" s="381" t="s">
        <v>336</v>
      </c>
      <c r="C7" s="381"/>
      <c r="D7" s="381"/>
      <c r="E7" s="196"/>
    </row>
    <row r="8" spans="1:8" ht="51.75" customHeight="1">
      <c r="A8" s="385" t="s">
        <v>337</v>
      </c>
      <c r="B8" s="390"/>
      <c r="C8" s="390"/>
      <c r="D8" s="390"/>
      <c r="E8" s="390"/>
    </row>
    <row r="10" spans="1:8" ht="60">
      <c r="A10" s="190" t="s">
        <v>328</v>
      </c>
      <c r="B10" s="190" t="s">
        <v>45</v>
      </c>
      <c r="C10" s="190" t="s">
        <v>329</v>
      </c>
      <c r="D10" s="190" t="s">
        <v>330</v>
      </c>
      <c r="E10" s="190" t="s">
        <v>331</v>
      </c>
      <c r="F10" s="166"/>
      <c r="G10" s="166"/>
      <c r="H10" s="166"/>
    </row>
    <row r="11" spans="1:8" s="26" customFormat="1" ht="15">
      <c r="A11" s="193">
        <v>1</v>
      </c>
      <c r="B11" s="193">
        <v>2</v>
      </c>
      <c r="C11" s="193">
        <v>3</v>
      </c>
      <c r="D11" s="193">
        <v>4</v>
      </c>
      <c r="E11" s="193">
        <v>5</v>
      </c>
    </row>
    <row r="12" spans="1:8" ht="15">
      <c r="A12" s="194">
        <v>1</v>
      </c>
      <c r="B12" s="190" t="s">
        <v>120</v>
      </c>
      <c r="C12" s="193" t="s">
        <v>332</v>
      </c>
      <c r="D12" s="193" t="s">
        <v>333</v>
      </c>
      <c r="E12" s="193">
        <v>1.5</v>
      </c>
    </row>
    <row r="13" spans="1:8" ht="15">
      <c r="A13" s="194">
        <v>2</v>
      </c>
      <c r="B13" s="190" t="s">
        <v>122</v>
      </c>
      <c r="C13" s="193" t="s">
        <v>332</v>
      </c>
      <c r="D13" s="193" t="s">
        <v>333</v>
      </c>
      <c r="E13" s="193">
        <v>6</v>
      </c>
    </row>
    <row r="14" spans="1:8" ht="45">
      <c r="A14" s="194">
        <v>3</v>
      </c>
      <c r="B14" s="190" t="s">
        <v>124</v>
      </c>
      <c r="C14" s="193" t="s">
        <v>332</v>
      </c>
      <c r="D14" s="193" t="s">
        <v>333</v>
      </c>
      <c r="E14" s="193">
        <v>9</v>
      </c>
    </row>
    <row r="15" spans="1:8" ht="45">
      <c r="A15" s="194">
        <v>4</v>
      </c>
      <c r="B15" s="190" t="s">
        <v>126</v>
      </c>
      <c r="C15" s="193" t="s">
        <v>332</v>
      </c>
      <c r="D15" s="193" t="s">
        <v>333</v>
      </c>
      <c r="E15" s="193">
        <v>12</v>
      </c>
    </row>
    <row r="16" spans="1:8" ht="15">
      <c r="A16" s="194">
        <v>5</v>
      </c>
      <c r="B16" s="190" t="s">
        <v>129</v>
      </c>
      <c r="C16" s="193" t="s">
        <v>332</v>
      </c>
      <c r="D16" s="193" t="s">
        <v>333</v>
      </c>
      <c r="E16" s="193">
        <v>30</v>
      </c>
    </row>
    <row r="17" spans="1:5" ht="15">
      <c r="A17" s="194">
        <v>6</v>
      </c>
      <c r="B17" s="190" t="s">
        <v>130</v>
      </c>
      <c r="C17" s="193" t="s">
        <v>332</v>
      </c>
      <c r="D17" s="193" t="s">
        <v>333</v>
      </c>
      <c r="E17" s="193">
        <v>35</v>
      </c>
    </row>
    <row r="19" spans="1:5" ht="164.25" customHeight="1">
      <c r="A19" s="382" t="s">
        <v>338</v>
      </c>
      <c r="B19" s="382"/>
      <c r="C19" s="385"/>
      <c r="D19" s="385"/>
      <c r="E19" s="385"/>
    </row>
    <row r="21" spans="1:5" ht="15">
      <c r="A21" s="192"/>
      <c r="B21" s="192" t="s">
        <v>339</v>
      </c>
      <c r="C21" s="200"/>
      <c r="D21" s="385" t="s">
        <v>340</v>
      </c>
      <c r="E21" s="385"/>
    </row>
    <row r="22" spans="1:5" ht="15">
      <c r="A22" s="192"/>
      <c r="B22" s="192"/>
      <c r="C22" s="200"/>
      <c r="D22" s="200"/>
      <c r="E22" s="200"/>
    </row>
    <row r="23" spans="1:5" ht="31.5" customHeight="1">
      <c r="A23" s="192"/>
      <c r="B23" s="252" t="s">
        <v>386</v>
      </c>
      <c r="C23" s="200"/>
      <c r="D23" s="385" t="s">
        <v>387</v>
      </c>
      <c r="E23" s="385"/>
    </row>
  </sheetData>
  <mergeCells count="10">
    <mergeCell ref="A19:E19"/>
    <mergeCell ref="D21:E21"/>
    <mergeCell ref="D23:E23"/>
    <mergeCell ref="C4:E4"/>
    <mergeCell ref="D1:E1"/>
    <mergeCell ref="D5:E5"/>
    <mergeCell ref="B7:D7"/>
    <mergeCell ref="D2:E2"/>
    <mergeCell ref="D3:E3"/>
    <mergeCell ref="A8:E8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topLeftCell="A16" workbookViewId="0">
      <selection activeCell="G22" sqref="G22"/>
    </sheetView>
  </sheetViews>
  <sheetFormatPr defaultRowHeight="12.75"/>
  <cols>
    <col min="1" max="1" width="4.140625" customWidth="1"/>
    <col min="2" max="2" width="5.140625" customWidth="1"/>
    <col min="3" max="3" width="4.85546875" customWidth="1"/>
    <col min="4" max="4" width="39" customWidth="1"/>
    <col min="5" max="5" width="12.28515625" customWidth="1"/>
    <col min="6" max="6" width="11.140625" customWidth="1"/>
    <col min="7" max="7" width="11.42578125" customWidth="1"/>
  </cols>
  <sheetData>
    <row r="1" spans="1:19" ht="15.75" customHeight="1">
      <c r="A1" s="201"/>
      <c r="B1" s="201"/>
      <c r="C1" s="201"/>
      <c r="D1" s="202"/>
      <c r="E1" s="391" t="s">
        <v>344</v>
      </c>
      <c r="F1" s="391"/>
      <c r="G1" s="391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</row>
    <row r="2" spans="1:19" ht="15.75" customHeight="1">
      <c r="A2" s="201"/>
      <c r="B2" s="201"/>
      <c r="C2" s="201"/>
      <c r="D2" s="204"/>
      <c r="E2" s="391" t="s">
        <v>384</v>
      </c>
      <c r="F2" s="391"/>
      <c r="G2" s="391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</row>
    <row r="3" spans="1:19" ht="15.75">
      <c r="A3" s="205"/>
      <c r="B3" s="205"/>
      <c r="C3" s="205"/>
      <c r="D3" s="202"/>
      <c r="E3" s="392" t="s">
        <v>385</v>
      </c>
      <c r="F3" s="392"/>
      <c r="G3" s="392"/>
      <c r="H3" s="206"/>
      <c r="I3" s="206"/>
      <c r="J3" s="206"/>
      <c r="K3" s="207"/>
      <c r="L3" s="207"/>
      <c r="M3" s="207"/>
      <c r="N3" s="207"/>
      <c r="O3" s="208"/>
      <c r="P3" s="208"/>
      <c r="Q3" s="209"/>
      <c r="R3" s="209"/>
      <c r="S3" s="209"/>
    </row>
    <row r="4" spans="1:19" ht="15.75">
      <c r="A4" s="205"/>
      <c r="B4" s="205"/>
      <c r="C4" s="205"/>
      <c r="D4" s="218" t="s">
        <v>358</v>
      </c>
      <c r="E4" s="210"/>
      <c r="F4" s="210"/>
      <c r="G4" s="210"/>
      <c r="H4" s="206"/>
      <c r="I4" s="206"/>
      <c r="J4" s="206"/>
      <c r="K4" s="207"/>
      <c r="L4" s="207"/>
      <c r="M4" s="207"/>
      <c r="N4" s="207"/>
      <c r="O4" s="208"/>
      <c r="P4" s="208"/>
      <c r="Q4" s="209"/>
      <c r="R4" s="209"/>
      <c r="S4" s="209"/>
    </row>
    <row r="5" spans="1:19" ht="21.75" customHeight="1">
      <c r="A5" s="393" t="s">
        <v>345</v>
      </c>
      <c r="B5" s="393"/>
      <c r="C5" s="393"/>
      <c r="D5" s="393"/>
      <c r="E5" s="393"/>
      <c r="F5" s="393"/>
      <c r="G5" s="393"/>
      <c r="H5" s="206"/>
      <c r="I5" s="206"/>
      <c r="J5" s="206"/>
      <c r="K5" s="207"/>
      <c r="L5" s="207"/>
      <c r="M5" s="207"/>
      <c r="N5" s="207"/>
      <c r="O5" s="208"/>
      <c r="P5" s="208"/>
      <c r="Q5" s="209"/>
      <c r="R5" s="209"/>
      <c r="S5" s="209"/>
    </row>
    <row r="6" spans="1:19" ht="9" customHeight="1">
      <c r="A6" s="304"/>
      <c r="B6" s="304"/>
      <c r="C6" s="304"/>
      <c r="D6" s="304"/>
      <c r="E6" s="304"/>
      <c r="F6" s="304"/>
      <c r="G6" s="304"/>
    </row>
    <row r="7" spans="1:19" ht="37.5" customHeight="1">
      <c r="A7" s="394" t="s">
        <v>346</v>
      </c>
      <c r="B7" s="394"/>
      <c r="C7" s="394"/>
      <c r="D7" s="394"/>
      <c r="E7" s="394"/>
      <c r="F7" s="394"/>
      <c r="G7" s="394"/>
    </row>
    <row r="8" spans="1:19">
      <c r="A8" s="395" t="s">
        <v>176</v>
      </c>
      <c r="B8" s="395"/>
      <c r="C8" s="395"/>
      <c r="D8" s="395"/>
      <c r="E8" s="395"/>
      <c r="F8" s="395"/>
      <c r="G8" s="395"/>
    </row>
    <row r="9" spans="1:19" ht="15.75">
      <c r="A9" s="123"/>
      <c r="B9" s="123"/>
      <c r="C9" s="123"/>
      <c r="D9" s="123"/>
      <c r="E9" s="124"/>
      <c r="F9" s="124"/>
      <c r="G9" s="124"/>
    </row>
    <row r="10" spans="1:19" ht="16.5" thickBot="1">
      <c r="A10" s="124"/>
      <c r="B10" s="124"/>
      <c r="C10" s="124"/>
      <c r="D10" s="125"/>
      <c r="E10" s="125"/>
      <c r="F10" s="125"/>
      <c r="G10" s="125"/>
    </row>
    <row r="11" spans="1:19" ht="16.5" customHeight="1" thickBot="1">
      <c r="A11" s="396" t="s">
        <v>0</v>
      </c>
      <c r="B11" s="397"/>
      <c r="C11" s="397"/>
      <c r="D11" s="396" t="s">
        <v>177</v>
      </c>
      <c r="E11" s="401" t="s">
        <v>20</v>
      </c>
      <c r="F11" s="404" t="s">
        <v>178</v>
      </c>
      <c r="G11" s="405"/>
    </row>
    <row r="12" spans="1:19" ht="16.5" customHeight="1" thickBot="1">
      <c r="A12" s="398"/>
      <c r="B12" s="305"/>
      <c r="C12" s="305"/>
      <c r="D12" s="398"/>
      <c r="E12" s="402"/>
      <c r="F12" s="404" t="s">
        <v>179</v>
      </c>
      <c r="G12" s="406"/>
    </row>
    <row r="13" spans="1:19" ht="32.25" thickBot="1">
      <c r="A13" s="399"/>
      <c r="B13" s="400"/>
      <c r="C13" s="400"/>
      <c r="D13" s="399"/>
      <c r="E13" s="403"/>
      <c r="F13" s="127" t="s">
        <v>180</v>
      </c>
      <c r="G13" s="127" t="s">
        <v>181</v>
      </c>
    </row>
    <row r="14" spans="1:19" ht="16.5" thickBot="1">
      <c r="A14" s="408">
        <v>1</v>
      </c>
      <c r="B14" s="409"/>
      <c r="C14" s="410"/>
      <c r="D14" s="128">
        <v>2</v>
      </c>
      <c r="E14" s="128">
        <v>3</v>
      </c>
      <c r="F14" s="129">
        <v>4</v>
      </c>
      <c r="G14" s="129">
        <v>5</v>
      </c>
    </row>
    <row r="15" spans="1:19" ht="16.5" thickBot="1">
      <c r="A15" s="211" t="s">
        <v>182</v>
      </c>
      <c r="B15" s="211"/>
      <c r="C15" s="211"/>
      <c r="D15" s="212" t="s">
        <v>183</v>
      </c>
      <c r="E15" s="213"/>
      <c r="F15" s="130"/>
      <c r="G15" s="130"/>
    </row>
    <row r="16" spans="1:19" ht="52.5" customHeight="1" thickBot="1">
      <c r="A16" s="211" t="s">
        <v>182</v>
      </c>
      <c r="B16" s="211" t="s">
        <v>182</v>
      </c>
      <c r="C16" s="211"/>
      <c r="D16" s="214" t="s">
        <v>184</v>
      </c>
      <c r="E16" s="213"/>
      <c r="F16" s="130"/>
      <c r="G16" s="130"/>
    </row>
    <row r="17" spans="1:7" ht="37.5" customHeight="1" thickBot="1">
      <c r="A17" s="211" t="s">
        <v>182</v>
      </c>
      <c r="B17" s="211" t="s">
        <v>182</v>
      </c>
      <c r="C17" s="211" t="s">
        <v>182</v>
      </c>
      <c r="D17" s="214" t="s">
        <v>59</v>
      </c>
      <c r="E17" s="213" t="s">
        <v>185</v>
      </c>
      <c r="F17" s="255">
        <f>'Справ. инф'!K14</f>
        <v>1.8149999999999999</v>
      </c>
      <c r="G17" s="255">
        <f>'Справ. инф'!L14</f>
        <v>2.1779999999999999</v>
      </c>
    </row>
    <row r="18" spans="1:7" ht="62.25" customHeight="1" thickBot="1">
      <c r="A18" s="211" t="s">
        <v>182</v>
      </c>
      <c r="B18" s="211" t="s">
        <v>182</v>
      </c>
      <c r="C18" s="211" t="s">
        <v>186</v>
      </c>
      <c r="D18" s="214" t="s">
        <v>187</v>
      </c>
      <c r="E18" s="213" t="s">
        <v>188</v>
      </c>
      <c r="F18" s="255">
        <f>'Справ. инф'!K15</f>
        <v>1.0549999999999999</v>
      </c>
      <c r="G18" s="255">
        <f>'Справ. инф'!L15</f>
        <v>1.27</v>
      </c>
    </row>
    <row r="19" spans="1:7" ht="75" customHeight="1" thickBot="1">
      <c r="A19" s="211" t="s">
        <v>182</v>
      </c>
      <c r="B19" s="211" t="s">
        <v>182</v>
      </c>
      <c r="C19" s="211" t="s">
        <v>189</v>
      </c>
      <c r="D19" s="214" t="s">
        <v>190</v>
      </c>
      <c r="E19" s="213" t="s">
        <v>191</v>
      </c>
      <c r="F19" s="255">
        <f>'Справ. инф'!K16</f>
        <v>0.67</v>
      </c>
      <c r="G19" s="255">
        <f>'Справ. инф'!L16</f>
        <v>0.80400000000000005</v>
      </c>
    </row>
    <row r="20" spans="1:7" ht="1.5" hidden="1" customHeight="1" thickBot="1">
      <c r="A20" s="211" t="s">
        <v>182</v>
      </c>
      <c r="B20" s="211" t="s">
        <v>186</v>
      </c>
      <c r="C20" s="211"/>
      <c r="D20" s="214" t="s">
        <v>192</v>
      </c>
      <c r="E20" s="213" t="s">
        <v>185</v>
      </c>
      <c r="F20" s="255">
        <f>'Справ. инф'!K17</f>
        <v>0</v>
      </c>
      <c r="G20" s="255">
        <f>'Справ. инф'!L17</f>
        <v>0</v>
      </c>
    </row>
    <row r="21" spans="1:7" ht="53.25" customHeight="1" thickBot="1">
      <c r="A21" s="211" t="s">
        <v>182</v>
      </c>
      <c r="B21" s="211" t="s">
        <v>189</v>
      </c>
      <c r="C21" s="211"/>
      <c r="D21" s="212" t="s">
        <v>193</v>
      </c>
      <c r="E21" s="213"/>
      <c r="F21" s="255"/>
      <c r="G21" s="255"/>
    </row>
    <row r="22" spans="1:7" ht="36.75" customHeight="1" thickBot="1">
      <c r="A22" s="211" t="s">
        <v>182</v>
      </c>
      <c r="B22" s="211" t="s">
        <v>189</v>
      </c>
      <c r="C22" s="211" t="s">
        <v>182</v>
      </c>
      <c r="D22" s="214" t="s">
        <v>59</v>
      </c>
      <c r="E22" s="213" t="s">
        <v>185</v>
      </c>
      <c r="F22" s="255">
        <f>'Справ. инф'!K19</f>
        <v>15.43</v>
      </c>
      <c r="G22" s="255">
        <f>'Справ. инф'!L19</f>
        <v>18.515999999999998</v>
      </c>
    </row>
    <row r="23" spans="1:7" ht="65.25" customHeight="1" thickBot="1">
      <c r="A23" s="211" t="s">
        <v>182</v>
      </c>
      <c r="B23" s="211" t="s">
        <v>189</v>
      </c>
      <c r="C23" s="211" t="s">
        <v>186</v>
      </c>
      <c r="D23" s="214" t="s">
        <v>187</v>
      </c>
      <c r="E23" s="213" t="s">
        <v>188</v>
      </c>
      <c r="F23" s="255">
        <f>'Справ. инф'!K20</f>
        <v>5.17</v>
      </c>
      <c r="G23" s="255">
        <f>'Справ. инф'!L20</f>
        <v>6.2039999999999997</v>
      </c>
    </row>
    <row r="24" spans="1:7" ht="66" customHeight="1" thickBot="1">
      <c r="A24" s="211" t="s">
        <v>182</v>
      </c>
      <c r="B24" s="211" t="s">
        <v>189</v>
      </c>
      <c r="C24" s="211" t="s">
        <v>189</v>
      </c>
      <c r="D24" s="214" t="s">
        <v>190</v>
      </c>
      <c r="E24" s="213" t="s">
        <v>191</v>
      </c>
      <c r="F24" s="255">
        <f>'Справ. инф'!K21</f>
        <v>2.855</v>
      </c>
      <c r="G24" s="255">
        <f>'Справ. инф'!L21</f>
        <v>3.43</v>
      </c>
    </row>
    <row r="25" spans="1:7" ht="67.5" customHeight="1" thickBot="1">
      <c r="A25" s="211" t="s">
        <v>182</v>
      </c>
      <c r="B25" s="211" t="s">
        <v>194</v>
      </c>
      <c r="C25" s="211"/>
      <c r="D25" s="214" t="s">
        <v>73</v>
      </c>
      <c r="E25" s="213" t="s">
        <v>195</v>
      </c>
      <c r="F25" s="255">
        <f>'Справ. инф'!K22</f>
        <v>5.76</v>
      </c>
      <c r="G25" s="255">
        <f>'Справ. инф'!L22</f>
        <v>6.9119999999999999</v>
      </c>
    </row>
    <row r="26" spans="1:7" ht="63" customHeight="1" thickBot="1">
      <c r="A26" s="211" t="s">
        <v>182</v>
      </c>
      <c r="B26" s="211" t="s">
        <v>196</v>
      </c>
      <c r="C26" s="211"/>
      <c r="D26" s="214" t="s">
        <v>78</v>
      </c>
      <c r="E26" s="213" t="s">
        <v>191</v>
      </c>
      <c r="F26" s="255">
        <f>'Справ. инф'!K23</f>
        <v>6.1</v>
      </c>
      <c r="G26" s="255">
        <f>'Справ. инф'!L23</f>
        <v>7.3199999999999994</v>
      </c>
    </row>
    <row r="27" spans="1:7" ht="32.25" hidden="1" thickBot="1">
      <c r="A27" s="211" t="s">
        <v>182</v>
      </c>
      <c r="B27" s="211" t="s">
        <v>197</v>
      </c>
      <c r="C27" s="211"/>
      <c r="D27" s="214" t="s">
        <v>198</v>
      </c>
      <c r="E27" s="213" t="s">
        <v>185</v>
      </c>
      <c r="F27" s="255">
        <f>'Справ. инф'!K24</f>
        <v>0</v>
      </c>
      <c r="G27" s="255">
        <f>'Справ. инф'!L24</f>
        <v>0</v>
      </c>
    </row>
    <row r="28" spans="1:7" ht="82.5" customHeight="1" thickBot="1">
      <c r="A28" s="211" t="s">
        <v>182</v>
      </c>
      <c r="B28" s="211" t="s">
        <v>199</v>
      </c>
      <c r="C28" s="211"/>
      <c r="D28" s="214" t="s">
        <v>79</v>
      </c>
      <c r="E28" s="213" t="s">
        <v>200</v>
      </c>
      <c r="F28" s="255">
        <f>'Справ. инф'!K25</f>
        <v>1.6349999999999998</v>
      </c>
      <c r="G28" s="255">
        <f>'Справ. инф'!L25</f>
        <v>1.97</v>
      </c>
    </row>
    <row r="29" spans="1:7" ht="18.75" customHeight="1" thickBot="1">
      <c r="A29" s="211" t="s">
        <v>186</v>
      </c>
      <c r="B29" s="211"/>
      <c r="C29" s="215"/>
      <c r="D29" s="212" t="s">
        <v>201</v>
      </c>
      <c r="E29" s="213"/>
      <c r="F29" s="255"/>
      <c r="G29" s="255"/>
    </row>
    <row r="30" spans="1:7" ht="48" thickBot="1">
      <c r="A30" s="211" t="s">
        <v>186</v>
      </c>
      <c r="B30" s="211" t="s">
        <v>182</v>
      </c>
      <c r="C30" s="211"/>
      <c r="D30" s="214" t="s">
        <v>202</v>
      </c>
      <c r="E30" s="213"/>
      <c r="F30" s="255"/>
      <c r="G30" s="255"/>
    </row>
    <row r="31" spans="1:7" ht="65.25" customHeight="1" thickBot="1">
      <c r="A31" s="211" t="s">
        <v>186</v>
      </c>
      <c r="B31" s="211" t="s">
        <v>182</v>
      </c>
      <c r="C31" s="211" t="s">
        <v>182</v>
      </c>
      <c r="D31" s="214" t="s">
        <v>59</v>
      </c>
      <c r="E31" s="213" t="s">
        <v>185</v>
      </c>
      <c r="F31" s="255">
        <f>'Справ. инф'!K28</f>
        <v>4.2</v>
      </c>
      <c r="G31" s="255">
        <f>'Справ. инф'!L28</f>
        <v>5.04</v>
      </c>
    </row>
    <row r="32" spans="1:7" ht="65.25" customHeight="1" thickBot="1">
      <c r="A32" s="211" t="s">
        <v>186</v>
      </c>
      <c r="B32" s="211" t="s">
        <v>182</v>
      </c>
      <c r="C32" s="211" t="s">
        <v>186</v>
      </c>
      <c r="D32" s="214" t="s">
        <v>187</v>
      </c>
      <c r="E32" s="213" t="s">
        <v>191</v>
      </c>
      <c r="F32" s="255">
        <f>'Справ. инф'!K29</f>
        <v>4.0199999999999996</v>
      </c>
      <c r="G32" s="255">
        <f>'Справ. инф'!L29</f>
        <v>4.8239999999999998</v>
      </c>
    </row>
    <row r="33" spans="1:7" ht="71.25" customHeight="1" thickBot="1">
      <c r="A33" s="211" t="s">
        <v>186</v>
      </c>
      <c r="B33" s="211" t="s">
        <v>182</v>
      </c>
      <c r="C33" s="211" t="s">
        <v>189</v>
      </c>
      <c r="D33" s="214" t="s">
        <v>190</v>
      </c>
      <c r="E33" s="213" t="s">
        <v>191</v>
      </c>
      <c r="F33" s="255">
        <f>'Справ. инф'!K30</f>
        <v>2.2849999999999997</v>
      </c>
      <c r="G33" s="255">
        <f>'Справ. инф'!L30</f>
        <v>2.75</v>
      </c>
    </row>
    <row r="34" spans="1:7" ht="41.25" customHeight="1" thickBot="1">
      <c r="A34" s="211" t="s">
        <v>186</v>
      </c>
      <c r="B34" s="211" t="s">
        <v>186</v>
      </c>
      <c r="C34" s="211"/>
      <c r="D34" s="214" t="s">
        <v>203</v>
      </c>
      <c r="E34" s="213"/>
      <c r="F34" s="255"/>
      <c r="G34" s="255"/>
    </row>
    <row r="35" spans="1:7" ht="45.75" customHeight="1" thickBot="1">
      <c r="A35" s="211" t="s">
        <v>186</v>
      </c>
      <c r="B35" s="211" t="s">
        <v>186</v>
      </c>
      <c r="C35" s="211" t="s">
        <v>182</v>
      </c>
      <c r="D35" s="214" t="s">
        <v>59</v>
      </c>
      <c r="E35" s="213" t="s">
        <v>185</v>
      </c>
      <c r="F35" s="255">
        <f>'Справ. инф'!K32</f>
        <v>3.07</v>
      </c>
      <c r="G35" s="255">
        <f>'Справ. инф'!L32</f>
        <v>3.6839999999999997</v>
      </c>
    </row>
    <row r="36" spans="1:7" ht="63.75" thickBot="1">
      <c r="A36" s="211" t="s">
        <v>186</v>
      </c>
      <c r="B36" s="211" t="s">
        <v>186</v>
      </c>
      <c r="C36" s="211" t="s">
        <v>186</v>
      </c>
      <c r="D36" s="214" t="s">
        <v>187</v>
      </c>
      <c r="E36" s="213" t="s">
        <v>191</v>
      </c>
      <c r="F36" s="255">
        <f>'Справ. инф'!K33</f>
        <v>2.7450000000000001</v>
      </c>
      <c r="G36" s="255">
        <f>'Справ. инф'!L33</f>
        <v>3.3</v>
      </c>
    </row>
    <row r="37" spans="1:7" ht="65.25" customHeight="1" thickBot="1">
      <c r="A37" s="211" t="s">
        <v>186</v>
      </c>
      <c r="B37" s="211" t="s">
        <v>186</v>
      </c>
      <c r="C37" s="211" t="s">
        <v>189</v>
      </c>
      <c r="D37" s="214" t="s">
        <v>190</v>
      </c>
      <c r="E37" s="213" t="s">
        <v>191</v>
      </c>
      <c r="F37" s="255">
        <f>'Справ. инф'!K34</f>
        <v>1.8149999999999999</v>
      </c>
      <c r="G37" s="255">
        <f>'Справ. инф'!L34</f>
        <v>2.1779999999999999</v>
      </c>
    </row>
    <row r="38" spans="1:7" ht="39" hidden="1" customHeight="1" thickBot="1">
      <c r="A38" s="211" t="s">
        <v>186</v>
      </c>
      <c r="B38" s="211" t="s">
        <v>189</v>
      </c>
      <c r="C38" s="211"/>
      <c r="D38" s="214" t="s">
        <v>204</v>
      </c>
      <c r="E38" s="213" t="s">
        <v>185</v>
      </c>
      <c r="F38" s="255">
        <f>'Справ. инф'!K35</f>
        <v>0</v>
      </c>
      <c r="G38" s="255">
        <f>'Справ. инф'!L35</f>
        <v>0</v>
      </c>
    </row>
    <row r="39" spans="1:7" ht="66" customHeight="1" thickBot="1">
      <c r="A39" s="211" t="s">
        <v>186</v>
      </c>
      <c r="B39" s="211" t="s">
        <v>194</v>
      </c>
      <c r="C39" s="211"/>
      <c r="D39" s="214" t="s">
        <v>172</v>
      </c>
      <c r="E39" s="213"/>
      <c r="F39" s="255"/>
      <c r="G39" s="255"/>
    </row>
    <row r="40" spans="1:7" ht="40.5" customHeight="1" thickBot="1">
      <c r="A40" s="211" t="s">
        <v>186</v>
      </c>
      <c r="B40" s="211" t="s">
        <v>194</v>
      </c>
      <c r="C40" s="211" t="s">
        <v>182</v>
      </c>
      <c r="D40" s="214" t="s">
        <v>59</v>
      </c>
      <c r="E40" s="213" t="s">
        <v>185</v>
      </c>
      <c r="F40" s="255">
        <f>'Справ. инф'!K37</f>
        <v>18.05</v>
      </c>
      <c r="G40" s="255">
        <f>'Справ. инф'!L37</f>
        <v>21.66</v>
      </c>
    </row>
    <row r="41" spans="1:7" ht="66.75" customHeight="1" thickBot="1">
      <c r="A41" s="211" t="s">
        <v>186</v>
      </c>
      <c r="B41" s="211" t="s">
        <v>194</v>
      </c>
      <c r="C41" s="211" t="s">
        <v>186</v>
      </c>
      <c r="D41" s="214" t="s">
        <v>187</v>
      </c>
      <c r="E41" s="213" t="s">
        <v>191</v>
      </c>
      <c r="F41" s="255">
        <f>'Справ. инф'!K38</f>
        <v>6.21</v>
      </c>
      <c r="G41" s="255">
        <f>'Справ. инф'!L38</f>
        <v>7.452</v>
      </c>
    </row>
    <row r="42" spans="1:7" ht="65.25" customHeight="1" thickBot="1">
      <c r="A42" s="211" t="s">
        <v>186</v>
      </c>
      <c r="B42" s="211" t="s">
        <v>194</v>
      </c>
      <c r="C42" s="211" t="s">
        <v>189</v>
      </c>
      <c r="D42" s="214" t="s">
        <v>190</v>
      </c>
      <c r="E42" s="213" t="s">
        <v>191</v>
      </c>
      <c r="F42" s="255">
        <f>'Справ. инф'!K39</f>
        <v>3.44</v>
      </c>
      <c r="G42" s="255">
        <f>'Справ. инф'!L39</f>
        <v>4.1280000000000001</v>
      </c>
    </row>
    <row r="43" spans="1:7" ht="54.75" customHeight="1" thickBot="1">
      <c r="A43" s="211" t="s">
        <v>186</v>
      </c>
      <c r="B43" s="211" t="s">
        <v>196</v>
      </c>
      <c r="C43" s="211"/>
      <c r="D43" s="214" t="s">
        <v>205</v>
      </c>
      <c r="E43" s="213"/>
      <c r="F43" s="255"/>
      <c r="G43" s="255"/>
    </row>
    <row r="44" spans="1:7" ht="42" customHeight="1" thickBot="1">
      <c r="A44" s="211" t="s">
        <v>186</v>
      </c>
      <c r="B44" s="211" t="s">
        <v>196</v>
      </c>
      <c r="C44" s="211" t="s">
        <v>182</v>
      </c>
      <c r="D44" s="214" t="s">
        <v>59</v>
      </c>
      <c r="E44" s="213" t="s">
        <v>185</v>
      </c>
      <c r="F44" s="255">
        <f>'Справ. инф'!K41</f>
        <v>2.855</v>
      </c>
      <c r="G44" s="255">
        <f>'Справ. инф'!L41</f>
        <v>3.43</v>
      </c>
    </row>
    <row r="45" spans="1:7" ht="71.25" customHeight="1" thickBot="1">
      <c r="A45" s="211" t="s">
        <v>186</v>
      </c>
      <c r="B45" s="211" t="s">
        <v>196</v>
      </c>
      <c r="C45" s="211" t="s">
        <v>186</v>
      </c>
      <c r="D45" s="214" t="s">
        <v>187</v>
      </c>
      <c r="E45" s="213" t="s">
        <v>191</v>
      </c>
      <c r="F45" s="255">
        <f>'Справ. инф'!K42</f>
        <v>2.4649999999999999</v>
      </c>
      <c r="G45" s="255">
        <f>'Справ. инф'!L42</f>
        <v>2.9579999999999997</v>
      </c>
    </row>
    <row r="46" spans="1:7" ht="63.75" thickBot="1">
      <c r="A46" s="211" t="s">
        <v>186</v>
      </c>
      <c r="B46" s="211" t="s">
        <v>196</v>
      </c>
      <c r="C46" s="211" t="s">
        <v>189</v>
      </c>
      <c r="D46" s="214" t="s">
        <v>190</v>
      </c>
      <c r="E46" s="213" t="s">
        <v>191</v>
      </c>
      <c r="F46" s="255">
        <f>'Справ. инф'!K43</f>
        <v>1.9949999999999999</v>
      </c>
      <c r="G46" s="255">
        <f>'Справ. инф'!L43</f>
        <v>2.4</v>
      </c>
    </row>
    <row r="47" spans="1:7" ht="66.75" customHeight="1" thickBot="1">
      <c r="A47" s="211" t="s">
        <v>186</v>
      </c>
      <c r="B47" s="211" t="s">
        <v>197</v>
      </c>
      <c r="C47" s="211"/>
      <c r="D47" s="214" t="s">
        <v>206</v>
      </c>
      <c r="E47" s="213" t="s">
        <v>195</v>
      </c>
      <c r="F47" s="255">
        <f>'Справ. инф'!K44</f>
        <v>7.76</v>
      </c>
      <c r="G47" s="255">
        <f>'Справ. инф'!L44</f>
        <v>9.3119999999999994</v>
      </c>
    </row>
    <row r="48" spans="1:7" ht="70.5" customHeight="1" thickBot="1">
      <c r="A48" s="211" t="s">
        <v>186</v>
      </c>
      <c r="B48" s="211" t="s">
        <v>199</v>
      </c>
      <c r="C48" s="211"/>
      <c r="D48" s="214" t="s">
        <v>207</v>
      </c>
      <c r="E48" s="213" t="s">
        <v>191</v>
      </c>
      <c r="F48" s="255">
        <f>'Справ. инф'!K45</f>
        <v>9.32</v>
      </c>
      <c r="G48" s="255">
        <f>'Справ. инф'!L45</f>
        <v>11.184000000000001</v>
      </c>
    </row>
    <row r="49" spans="1:7" ht="39" customHeight="1" thickBot="1">
      <c r="A49" s="211" t="s">
        <v>186</v>
      </c>
      <c r="B49" s="211" t="s">
        <v>208</v>
      </c>
      <c r="C49" s="211"/>
      <c r="D49" s="214" t="s">
        <v>209</v>
      </c>
      <c r="E49" s="213" t="s">
        <v>185</v>
      </c>
      <c r="F49" s="255">
        <f>'Справ. инф'!K46</f>
        <v>0.21</v>
      </c>
      <c r="G49" s="255">
        <f>'Справ. инф'!L46</f>
        <v>0.252</v>
      </c>
    </row>
    <row r="50" spans="1:7" ht="40.5" customHeight="1" thickBot="1">
      <c r="A50" s="211" t="s">
        <v>186</v>
      </c>
      <c r="B50" s="211" t="s">
        <v>210</v>
      </c>
      <c r="C50" s="211"/>
      <c r="D50" s="214" t="s">
        <v>211</v>
      </c>
      <c r="E50" s="213" t="s">
        <v>185</v>
      </c>
      <c r="F50" s="255">
        <f>'Справ. инф'!K47</f>
        <v>1.1449999999999998</v>
      </c>
      <c r="G50" s="255">
        <f>'Справ. инф'!L47</f>
        <v>1.38</v>
      </c>
    </row>
    <row r="51" spans="1:7" ht="70.5" customHeight="1" thickBot="1">
      <c r="A51" s="211" t="s">
        <v>186</v>
      </c>
      <c r="B51" s="211" t="s">
        <v>212</v>
      </c>
      <c r="C51" s="211"/>
      <c r="D51" s="214" t="s">
        <v>213</v>
      </c>
      <c r="E51" s="213" t="s">
        <v>214</v>
      </c>
      <c r="F51" s="255">
        <f>'Справ. инф'!K48</f>
        <v>39.020000000000003</v>
      </c>
      <c r="G51" s="255">
        <f>'Справ. инф'!L48</f>
        <v>46.824000000000005</v>
      </c>
    </row>
    <row r="52" spans="1:7" ht="39.75" customHeight="1" thickBot="1">
      <c r="A52" s="211" t="s">
        <v>186</v>
      </c>
      <c r="B52" s="211" t="s">
        <v>217</v>
      </c>
      <c r="C52" s="211"/>
      <c r="D52" s="214" t="s">
        <v>112</v>
      </c>
      <c r="E52" s="213" t="s">
        <v>185</v>
      </c>
      <c r="F52" s="255">
        <f>'Справ. инф'!K50</f>
        <v>11.64</v>
      </c>
      <c r="G52" s="255">
        <f>'Справ. инф'!L50</f>
        <v>13.968</v>
      </c>
    </row>
    <row r="53" spans="1:7" ht="42" hidden="1" customHeight="1" thickBot="1">
      <c r="A53" s="211" t="s">
        <v>186</v>
      </c>
      <c r="B53" s="211" t="s">
        <v>218</v>
      </c>
      <c r="C53" s="211"/>
      <c r="D53" s="214" t="s">
        <v>219</v>
      </c>
      <c r="E53" s="213"/>
      <c r="F53" s="255">
        <f>'Справ. инф'!K50</f>
        <v>11.64</v>
      </c>
      <c r="G53" s="255">
        <f>'Справ. инф'!L50</f>
        <v>13.968</v>
      </c>
    </row>
    <row r="54" spans="1:7" ht="0.75" hidden="1" customHeight="1" thickBot="1">
      <c r="A54" s="211" t="s">
        <v>186</v>
      </c>
      <c r="B54" s="211" t="s">
        <v>218</v>
      </c>
      <c r="C54" s="211" t="s">
        <v>182</v>
      </c>
      <c r="D54" s="214" t="s">
        <v>220</v>
      </c>
      <c r="E54" s="213" t="s">
        <v>221</v>
      </c>
      <c r="F54" s="255">
        <f>'Справ. инф'!K51</f>
        <v>0</v>
      </c>
      <c r="G54" s="255">
        <f>'Справ. инф'!L51</f>
        <v>0</v>
      </c>
    </row>
    <row r="55" spans="1:7" ht="54" hidden="1" customHeight="1" thickBot="1">
      <c r="A55" s="211" t="s">
        <v>186</v>
      </c>
      <c r="B55" s="211" t="s">
        <v>218</v>
      </c>
      <c r="C55" s="211" t="s">
        <v>186</v>
      </c>
      <c r="D55" s="214" t="s">
        <v>222</v>
      </c>
      <c r="E55" s="213" t="s">
        <v>221</v>
      </c>
      <c r="F55" s="255">
        <f>'Справ. инф'!K52</f>
        <v>0</v>
      </c>
      <c r="G55" s="255">
        <f>'Справ. инф'!L52</f>
        <v>0</v>
      </c>
    </row>
    <row r="56" spans="1:7" ht="30" customHeight="1" thickBot="1">
      <c r="A56" s="211" t="s">
        <v>189</v>
      </c>
      <c r="B56" s="211"/>
      <c r="C56" s="211"/>
      <c r="D56" s="212" t="s">
        <v>223</v>
      </c>
      <c r="E56" s="213"/>
      <c r="F56" s="255"/>
      <c r="G56" s="255"/>
    </row>
    <row r="57" spans="1:7" ht="42" customHeight="1" thickBot="1">
      <c r="A57" s="211" t="s">
        <v>189</v>
      </c>
      <c r="B57" s="211" t="s">
        <v>182</v>
      </c>
      <c r="C57" s="211"/>
      <c r="D57" s="214" t="s">
        <v>224</v>
      </c>
      <c r="E57" s="213"/>
      <c r="F57" s="255"/>
      <c r="G57" s="255"/>
    </row>
    <row r="58" spans="1:7" ht="36" customHeight="1" thickBot="1">
      <c r="A58" s="211" t="s">
        <v>189</v>
      </c>
      <c r="B58" s="211" t="s">
        <v>182</v>
      </c>
      <c r="C58" s="211" t="s">
        <v>182</v>
      </c>
      <c r="D58" s="214" t="s">
        <v>225</v>
      </c>
      <c r="E58" s="213" t="s">
        <v>185</v>
      </c>
      <c r="F58" s="255">
        <f>'Справ. инф'!K56</f>
        <v>4.5</v>
      </c>
      <c r="G58" s="255">
        <f>'Справ. инф'!L56</f>
        <v>5.4</v>
      </c>
    </row>
    <row r="59" spans="1:7" ht="34.5" customHeight="1" thickBot="1">
      <c r="A59" s="211" t="s">
        <v>189</v>
      </c>
      <c r="B59" s="211" t="s">
        <v>182</v>
      </c>
      <c r="C59" s="211" t="s">
        <v>186</v>
      </c>
      <c r="D59" s="214" t="s">
        <v>226</v>
      </c>
      <c r="E59" s="213" t="s">
        <v>185</v>
      </c>
      <c r="F59" s="255">
        <f>'Справ. инф'!K57</f>
        <v>7.37</v>
      </c>
      <c r="G59" s="255">
        <f>'Справ. инф'!L57</f>
        <v>8.8440000000000012</v>
      </c>
    </row>
    <row r="60" spans="1:7" ht="45" customHeight="1" thickBot="1">
      <c r="A60" s="211" t="s">
        <v>189</v>
      </c>
      <c r="B60" s="211" t="s">
        <v>182</v>
      </c>
      <c r="C60" s="211" t="s">
        <v>189</v>
      </c>
      <c r="D60" s="214" t="s">
        <v>227</v>
      </c>
      <c r="E60" s="213" t="s">
        <v>185</v>
      </c>
      <c r="F60" s="255">
        <f>'Справ. инф'!K58</f>
        <v>8.8000000000000007</v>
      </c>
      <c r="G60" s="255">
        <f>'Справ. инф'!L58</f>
        <v>10.56</v>
      </c>
    </row>
    <row r="61" spans="1:7" ht="39.75" customHeight="1" thickBot="1">
      <c r="A61" s="211" t="s">
        <v>189</v>
      </c>
      <c r="B61" s="211" t="s">
        <v>182</v>
      </c>
      <c r="C61" s="211" t="s">
        <v>194</v>
      </c>
      <c r="D61" s="214" t="s">
        <v>228</v>
      </c>
      <c r="E61" s="213" t="s">
        <v>185</v>
      </c>
      <c r="F61" s="255">
        <f>'Справ. инф'!K59</f>
        <v>11.47</v>
      </c>
      <c r="G61" s="255">
        <f>'Справ. инф'!L59</f>
        <v>13.764000000000001</v>
      </c>
    </row>
    <row r="62" spans="1:7" ht="39.75" customHeight="1" thickBot="1">
      <c r="A62" s="211" t="s">
        <v>189</v>
      </c>
      <c r="B62" s="211" t="s">
        <v>182</v>
      </c>
      <c r="C62" s="211" t="s">
        <v>196</v>
      </c>
      <c r="D62" s="214" t="s">
        <v>229</v>
      </c>
      <c r="E62" s="213" t="s">
        <v>185</v>
      </c>
      <c r="F62" s="255">
        <f>'Справ. инф'!K60</f>
        <v>8.8000000000000007</v>
      </c>
      <c r="G62" s="255">
        <f>'Справ. инф'!L60</f>
        <v>10.56</v>
      </c>
    </row>
    <row r="63" spans="1:7" ht="34.5" customHeight="1" thickBot="1">
      <c r="A63" s="211" t="s">
        <v>189</v>
      </c>
      <c r="B63" s="211" t="s">
        <v>182</v>
      </c>
      <c r="C63" s="211" t="s">
        <v>197</v>
      </c>
      <c r="D63" s="214" t="s">
        <v>230</v>
      </c>
      <c r="E63" s="213" t="s">
        <v>185</v>
      </c>
      <c r="F63" s="255">
        <f>'Справ. инф'!K61</f>
        <v>14.67</v>
      </c>
      <c r="G63" s="255">
        <f>'Справ. инф'!L61</f>
        <v>17.603999999999999</v>
      </c>
    </row>
    <row r="64" spans="1:7" ht="70.5" customHeight="1" thickBot="1">
      <c r="A64" s="211" t="s">
        <v>189</v>
      </c>
      <c r="B64" s="211" t="s">
        <v>186</v>
      </c>
      <c r="C64" s="211"/>
      <c r="D64" s="214" t="s">
        <v>231</v>
      </c>
      <c r="E64" s="213"/>
      <c r="F64" s="255"/>
      <c r="G64" s="255"/>
    </row>
    <row r="65" spans="1:7" ht="47.25" customHeight="1" thickBot="1">
      <c r="A65" s="211" t="s">
        <v>189</v>
      </c>
      <c r="B65" s="211" t="s">
        <v>186</v>
      </c>
      <c r="C65" s="211" t="s">
        <v>182</v>
      </c>
      <c r="D65" s="214" t="s">
        <v>59</v>
      </c>
      <c r="E65" s="213" t="s">
        <v>185</v>
      </c>
      <c r="F65" s="255">
        <f>'Справ. инф'!K63</f>
        <v>11.01</v>
      </c>
      <c r="G65" s="255">
        <f>'Справ. инф'!L63</f>
        <v>13.212</v>
      </c>
    </row>
    <row r="66" spans="1:7" ht="48.75" customHeight="1" thickBot="1">
      <c r="A66" s="211" t="s">
        <v>189</v>
      </c>
      <c r="B66" s="211" t="s">
        <v>186</v>
      </c>
      <c r="C66" s="211" t="s">
        <v>186</v>
      </c>
      <c r="D66" s="214" t="s">
        <v>232</v>
      </c>
      <c r="E66" s="213" t="s">
        <v>185</v>
      </c>
      <c r="F66" s="255">
        <f>'Справ. инф'!K64</f>
        <v>14.67</v>
      </c>
      <c r="G66" s="255">
        <f>'Справ. инф'!L64</f>
        <v>17.603999999999999</v>
      </c>
    </row>
    <row r="67" spans="1:7" ht="76.5" customHeight="1" thickBot="1">
      <c r="A67" s="211" t="s">
        <v>189</v>
      </c>
      <c r="B67" s="211" t="s">
        <v>186</v>
      </c>
      <c r="C67" s="211" t="s">
        <v>189</v>
      </c>
      <c r="D67" s="214" t="s">
        <v>233</v>
      </c>
      <c r="E67" s="213" t="s">
        <v>191</v>
      </c>
      <c r="F67" s="255">
        <f>'Справ. инф'!K65</f>
        <v>6.3</v>
      </c>
      <c r="G67" s="255">
        <f>'Справ. инф'!L65</f>
        <v>7.56</v>
      </c>
    </row>
    <row r="68" spans="1:7" ht="73.5" customHeight="1" thickBot="1">
      <c r="A68" s="211" t="s">
        <v>189</v>
      </c>
      <c r="B68" s="211" t="s">
        <v>189</v>
      </c>
      <c r="C68" s="211"/>
      <c r="D68" s="214" t="s">
        <v>234</v>
      </c>
      <c r="E68" s="213" t="s">
        <v>191</v>
      </c>
      <c r="F68" s="255">
        <f>'Справ. инф'!K66</f>
        <v>5.88</v>
      </c>
      <c r="G68" s="255">
        <f>'Справ. инф'!L66</f>
        <v>7.056</v>
      </c>
    </row>
    <row r="69" spans="1:7" ht="0.75" hidden="1" customHeight="1" thickBot="1">
      <c r="A69" s="211" t="s">
        <v>189</v>
      </c>
      <c r="B69" s="211" t="s">
        <v>194</v>
      </c>
      <c r="C69" s="211"/>
      <c r="D69" s="214" t="s">
        <v>235</v>
      </c>
      <c r="E69" s="213" t="s">
        <v>236</v>
      </c>
      <c r="F69" s="255">
        <f>'Справ. инф'!K67</f>
        <v>0</v>
      </c>
      <c r="G69" s="255">
        <f>'Справ. инф'!L67</f>
        <v>0</v>
      </c>
    </row>
    <row r="70" spans="1:7" ht="49.5" customHeight="1" thickBot="1">
      <c r="A70" s="211" t="s">
        <v>189</v>
      </c>
      <c r="B70" s="211" t="s">
        <v>196</v>
      </c>
      <c r="C70" s="211"/>
      <c r="D70" s="214" t="s">
        <v>237</v>
      </c>
      <c r="E70" s="213"/>
      <c r="F70" s="255"/>
      <c r="G70" s="255"/>
    </row>
    <row r="71" spans="1:7" ht="51.75" customHeight="1" thickBot="1">
      <c r="A71" s="211" t="s">
        <v>189</v>
      </c>
      <c r="B71" s="211" t="s">
        <v>196</v>
      </c>
      <c r="C71" s="211" t="s">
        <v>182</v>
      </c>
      <c r="D71" s="214" t="s">
        <v>238</v>
      </c>
      <c r="E71" s="213" t="s">
        <v>239</v>
      </c>
      <c r="F71" s="255">
        <f>'Справ. инф'!K69</f>
        <v>13.33</v>
      </c>
      <c r="G71" s="255">
        <f>'Справ. инф'!L69</f>
        <v>15.996</v>
      </c>
    </row>
    <row r="72" spans="1:7" ht="55.5" customHeight="1" thickBot="1">
      <c r="A72" s="211" t="s">
        <v>189</v>
      </c>
      <c r="B72" s="211" t="s">
        <v>196</v>
      </c>
      <c r="C72" s="211" t="s">
        <v>186</v>
      </c>
      <c r="D72" s="214" t="s">
        <v>240</v>
      </c>
      <c r="E72" s="213" t="s">
        <v>241</v>
      </c>
      <c r="F72" s="255">
        <f>'Справ. инф'!K70</f>
        <v>18.350000000000001</v>
      </c>
      <c r="G72" s="255">
        <f>'Справ. инф'!L70</f>
        <v>22.020000000000003</v>
      </c>
    </row>
    <row r="73" spans="1:7" ht="61.5" hidden="1" customHeight="1" thickBot="1">
      <c r="A73" s="211" t="s">
        <v>189</v>
      </c>
      <c r="B73" s="211" t="s">
        <v>197</v>
      </c>
      <c r="C73" s="211"/>
      <c r="D73" s="214" t="s">
        <v>242</v>
      </c>
      <c r="E73" s="213"/>
      <c r="F73" s="255">
        <f>'Справ. инф'!K71</f>
        <v>0</v>
      </c>
      <c r="G73" s="255">
        <f>'Справ. инф'!L71</f>
        <v>0</v>
      </c>
    </row>
    <row r="74" spans="1:7" ht="0.75" hidden="1" customHeight="1" thickBot="1">
      <c r="A74" s="211" t="s">
        <v>189</v>
      </c>
      <c r="B74" s="211" t="s">
        <v>197</v>
      </c>
      <c r="C74" s="211" t="s">
        <v>182</v>
      </c>
      <c r="D74" s="214" t="s">
        <v>238</v>
      </c>
      <c r="E74" s="213" t="s">
        <v>239</v>
      </c>
      <c r="F74" s="255">
        <f>'Справ. инф'!K72</f>
        <v>0</v>
      </c>
      <c r="G74" s="255">
        <f>'Справ. инф'!L72</f>
        <v>0</v>
      </c>
    </row>
    <row r="75" spans="1:7" ht="57" hidden="1" customHeight="1" thickBot="1">
      <c r="A75" s="211" t="s">
        <v>189</v>
      </c>
      <c r="B75" s="211" t="s">
        <v>197</v>
      </c>
      <c r="C75" s="211" t="s">
        <v>186</v>
      </c>
      <c r="D75" s="214" t="s">
        <v>240</v>
      </c>
      <c r="E75" s="213" t="s">
        <v>241</v>
      </c>
      <c r="F75" s="255">
        <f>'Справ. инф'!K73</f>
        <v>0</v>
      </c>
      <c r="G75" s="255">
        <f>'Справ. инф'!L73</f>
        <v>0</v>
      </c>
    </row>
    <row r="76" spans="1:7" ht="81.75" customHeight="1" thickBot="1">
      <c r="A76" s="211" t="s">
        <v>189</v>
      </c>
      <c r="B76" s="211" t="s">
        <v>199</v>
      </c>
      <c r="C76" s="211"/>
      <c r="D76" s="214" t="s">
        <v>243</v>
      </c>
      <c r="E76" s="213"/>
      <c r="F76" s="255"/>
      <c r="G76" s="255"/>
    </row>
    <row r="77" spans="1:7" ht="57.75" customHeight="1" thickBot="1">
      <c r="A77" s="211" t="s">
        <v>189</v>
      </c>
      <c r="B77" s="211" t="s">
        <v>199</v>
      </c>
      <c r="C77" s="211" t="s">
        <v>182</v>
      </c>
      <c r="D77" s="214" t="s">
        <v>238</v>
      </c>
      <c r="E77" s="213" t="s">
        <v>239</v>
      </c>
      <c r="F77" s="255">
        <f>'Справ. инф'!K75</f>
        <v>10.48</v>
      </c>
      <c r="G77" s="255">
        <f>'Справ. инф'!L75</f>
        <v>12.576000000000001</v>
      </c>
    </row>
    <row r="78" spans="1:7" ht="56.25" customHeight="1" thickBot="1">
      <c r="A78" s="211" t="s">
        <v>189</v>
      </c>
      <c r="B78" s="211" t="s">
        <v>199</v>
      </c>
      <c r="C78" s="211" t="s">
        <v>186</v>
      </c>
      <c r="D78" s="214" t="s">
        <v>240</v>
      </c>
      <c r="E78" s="213" t="s">
        <v>241</v>
      </c>
      <c r="F78" s="255">
        <f>'Справ. инф'!K76</f>
        <v>15.74</v>
      </c>
      <c r="G78" s="255">
        <f>'Справ. инф'!L76</f>
        <v>18.888000000000002</v>
      </c>
    </row>
    <row r="79" spans="1:7" ht="39.75" customHeight="1" thickBot="1">
      <c r="A79" s="211" t="s">
        <v>189</v>
      </c>
      <c r="B79" s="211" t="s">
        <v>208</v>
      </c>
      <c r="C79" s="211"/>
      <c r="D79" s="214" t="s">
        <v>162</v>
      </c>
      <c r="E79" s="213" t="s">
        <v>185</v>
      </c>
      <c r="F79" s="255">
        <f>'Справ. инф'!K77</f>
        <v>0.4</v>
      </c>
      <c r="G79" s="255">
        <f>'Справ. инф'!L77</f>
        <v>0.48000000000000004</v>
      </c>
    </row>
    <row r="80" spans="1:7" ht="33" customHeight="1" thickBot="1">
      <c r="A80" s="211" t="s">
        <v>189</v>
      </c>
      <c r="B80" s="211" t="s">
        <v>210</v>
      </c>
      <c r="C80" s="211"/>
      <c r="D80" s="214" t="s">
        <v>155</v>
      </c>
      <c r="E80" s="213" t="s">
        <v>185</v>
      </c>
      <c r="F80" s="255">
        <f>'Справ. инф'!K78</f>
        <v>8.8000000000000007</v>
      </c>
      <c r="G80" s="255">
        <f>'Справ. инф'!L78</f>
        <v>10.56</v>
      </c>
    </row>
    <row r="81" spans="1:7" ht="46.5" hidden="1" customHeight="1" thickBot="1">
      <c r="A81" s="211" t="s">
        <v>189</v>
      </c>
      <c r="B81" s="211" t="s">
        <v>212</v>
      </c>
      <c r="C81" s="211"/>
      <c r="D81" s="214" t="s">
        <v>244</v>
      </c>
      <c r="E81" s="213" t="s">
        <v>185</v>
      </c>
      <c r="F81" s="130">
        <f>'Справ. инф'!I79</f>
        <v>0</v>
      </c>
      <c r="G81" s="130">
        <f>'Справ. инф'!J79</f>
        <v>0</v>
      </c>
    </row>
    <row r="82" spans="1:7" ht="15.75">
      <c r="A82" s="133"/>
      <c r="B82" s="134"/>
      <c r="C82" s="134"/>
      <c r="D82" s="135"/>
      <c r="E82" s="136"/>
      <c r="F82" s="132"/>
      <c r="G82" s="132"/>
    </row>
    <row r="83" spans="1:7" ht="15.75">
      <c r="A83" s="137"/>
      <c r="B83" s="137"/>
      <c r="C83" s="138"/>
      <c r="D83" s="140"/>
      <c r="E83" s="141"/>
      <c r="F83" s="142"/>
      <c r="G83" s="142"/>
    </row>
    <row r="84" spans="1:7" ht="49.5" customHeight="1">
      <c r="A84" s="303" t="s">
        <v>245</v>
      </c>
      <c r="B84" s="303"/>
      <c r="C84" s="303"/>
      <c r="D84" s="303"/>
      <c r="E84" s="303"/>
      <c r="F84" s="303"/>
      <c r="G84" s="303"/>
    </row>
    <row r="85" spans="1:7" ht="15.75">
      <c r="A85" s="143"/>
      <c r="B85" s="143"/>
      <c r="C85" s="143"/>
      <c r="D85" s="143"/>
      <c r="E85" s="144"/>
      <c r="F85" s="144"/>
      <c r="G85" s="144"/>
    </row>
    <row r="86" spans="1:7" ht="34.5" customHeight="1">
      <c r="A86" s="303" t="s">
        <v>246</v>
      </c>
      <c r="B86" s="303"/>
      <c r="C86" s="303"/>
      <c r="D86" s="303"/>
      <c r="E86" s="146"/>
      <c r="F86" s="411" t="s">
        <v>351</v>
      </c>
      <c r="G86" s="411"/>
    </row>
    <row r="87" spans="1:7" ht="15.75">
      <c r="A87" s="303"/>
      <c r="B87" s="303"/>
      <c r="C87" s="303"/>
      <c r="D87" s="303"/>
      <c r="E87" s="216"/>
      <c r="G87" s="136"/>
    </row>
    <row r="88" spans="1:7" ht="15.75">
      <c r="A88" s="143"/>
      <c r="B88" s="143"/>
      <c r="C88" s="143"/>
      <c r="D88" s="143"/>
      <c r="E88" s="217"/>
      <c r="F88" s="136"/>
    </row>
    <row r="89" spans="1:7" ht="15.75">
      <c r="A89" s="303" t="s">
        <v>6</v>
      </c>
      <c r="B89" s="303"/>
      <c r="C89" s="303"/>
      <c r="D89" s="303"/>
      <c r="E89" s="146"/>
      <c r="F89" s="407" t="s">
        <v>352</v>
      </c>
      <c r="G89" s="407"/>
    </row>
    <row r="90" spans="1:7" ht="15.75">
      <c r="A90" s="143"/>
      <c r="B90" s="143"/>
      <c r="C90" s="143"/>
      <c r="D90" s="143"/>
      <c r="E90" s="216"/>
      <c r="G90" s="136"/>
    </row>
    <row r="91" spans="1:7">
      <c r="E91" s="64"/>
    </row>
  </sheetData>
  <mergeCells count="19">
    <mergeCell ref="A89:D89"/>
    <mergeCell ref="F89:G89"/>
    <mergeCell ref="A14:C14"/>
    <mergeCell ref="A84:G84"/>
    <mergeCell ref="A86:D86"/>
    <mergeCell ref="F86:G86"/>
    <mergeCell ref="A87:D87"/>
    <mergeCell ref="A7:G7"/>
    <mergeCell ref="A8:G8"/>
    <mergeCell ref="A11:C13"/>
    <mergeCell ref="D11:D13"/>
    <mergeCell ref="E11:E13"/>
    <mergeCell ref="F11:G11"/>
    <mergeCell ref="F12:G12"/>
    <mergeCell ref="E1:G1"/>
    <mergeCell ref="E2:G2"/>
    <mergeCell ref="E3:G3"/>
    <mergeCell ref="A5:G5"/>
    <mergeCell ref="A6:G6"/>
  </mergeCells>
  <pageMargins left="0.70866141732283472" right="0.51181102362204722" top="0.55118110236220474" bottom="0.55118110236220474" header="0.31496062992125984" footer="0.31496062992125984"/>
  <pageSetup paperSize="9" scale="8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topLeftCell="C1"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G40"/>
  <sheetViews>
    <sheetView topLeftCell="A7" zoomScaleNormal="100" workbookViewId="0">
      <selection activeCell="C18" sqref="C18"/>
    </sheetView>
  </sheetViews>
  <sheetFormatPr defaultRowHeight="15.75"/>
  <cols>
    <col min="1" max="1" width="6.140625" style="27" customWidth="1"/>
    <col min="2" max="2" width="59" style="38" customWidth="1"/>
    <col min="3" max="3" width="29.7109375" style="29" customWidth="1"/>
    <col min="4" max="4" width="9.140625" style="29"/>
    <col min="5" max="5" width="16.5703125" style="29" customWidth="1"/>
    <col min="6" max="16384" width="9.140625" style="29"/>
  </cols>
  <sheetData>
    <row r="1" spans="1:7" ht="20.25" customHeight="1">
      <c r="C1" s="38" t="s">
        <v>168</v>
      </c>
    </row>
    <row r="2" spans="1:7" ht="17.25" customHeight="1">
      <c r="A2" s="152"/>
      <c r="B2" s="153"/>
      <c r="C2" s="152" t="s">
        <v>170</v>
      </c>
    </row>
    <row r="3" spans="1:7" ht="33" customHeight="1">
      <c r="A3" s="155"/>
      <c r="B3" s="154"/>
      <c r="C3" s="156" t="s">
        <v>251</v>
      </c>
    </row>
    <row r="4" spans="1:7" ht="20.25" customHeight="1">
      <c r="A4" s="316"/>
      <c r="B4" s="317"/>
      <c r="C4" s="227" t="s">
        <v>252</v>
      </c>
    </row>
    <row r="5" spans="1:7">
      <c r="B5" s="28"/>
      <c r="C5" s="228" t="s">
        <v>364</v>
      </c>
    </row>
    <row r="6" spans="1:7" s="30" customFormat="1" ht="19.5" customHeight="1">
      <c r="A6" s="318" t="s">
        <v>8</v>
      </c>
      <c r="B6" s="318"/>
      <c r="C6" s="318"/>
    </row>
    <row r="7" spans="1:7" ht="18" customHeight="1">
      <c r="A7" s="319" t="s">
        <v>382</v>
      </c>
      <c r="B7" s="319"/>
      <c r="C7" s="319"/>
    </row>
    <row r="8" spans="1:7" ht="27.75" customHeight="1">
      <c r="A8" s="31" t="s">
        <v>0</v>
      </c>
      <c r="B8" s="32" t="s">
        <v>1</v>
      </c>
      <c r="C8" s="31" t="s">
        <v>21</v>
      </c>
    </row>
    <row r="9" spans="1:7" ht="31.5">
      <c r="A9" s="33">
        <v>1</v>
      </c>
      <c r="B9" s="34" t="s">
        <v>292</v>
      </c>
      <c r="C9" s="157">
        <v>179077.7</v>
      </c>
      <c r="E9" s="173">
        <f>'З.П.Упр и всп пер'!E12+'З.П.Упр и всп пер'!F12+'З.П.Упр и всп пер'!H12</f>
        <v>179077672</v>
      </c>
    </row>
    <row r="10" spans="1:7">
      <c r="A10" s="33">
        <v>2</v>
      </c>
      <c r="B10" s="34" t="s">
        <v>22</v>
      </c>
      <c r="C10" s="157">
        <f>SUM(C11:C13)</f>
        <v>63715.9</v>
      </c>
    </row>
    <row r="11" spans="1:7" ht="47.25">
      <c r="A11" s="36" t="s">
        <v>23</v>
      </c>
      <c r="B11" s="34" t="s">
        <v>293</v>
      </c>
      <c r="C11" s="157">
        <f>ROUND(C9*0.34,1)</f>
        <v>60886.400000000001</v>
      </c>
    </row>
    <row r="12" spans="1:7" ht="47.25">
      <c r="A12" s="36" t="s">
        <v>24</v>
      </c>
      <c r="B12" s="34" t="s">
        <v>363</v>
      </c>
      <c r="C12" s="157">
        <f>ROUND(C9*0.08/100,1)</f>
        <v>143.30000000000001</v>
      </c>
    </row>
    <row r="13" spans="1:7" ht="31.5">
      <c r="A13" s="36" t="s">
        <v>259</v>
      </c>
      <c r="B13" s="34" t="s">
        <v>294</v>
      </c>
      <c r="C13" s="157">
        <f>ROUND(C9*1.5/100,1)</f>
        <v>2686.2</v>
      </c>
    </row>
    <row r="14" spans="1:7">
      <c r="A14" s="33">
        <v>3</v>
      </c>
      <c r="B14" s="34" t="s">
        <v>305</v>
      </c>
      <c r="C14" s="159">
        <v>6763.5</v>
      </c>
    </row>
    <row r="15" spans="1:7" ht="31.5">
      <c r="A15" s="33">
        <v>4</v>
      </c>
      <c r="B15" s="34" t="s">
        <v>25</v>
      </c>
      <c r="C15" s="37">
        <v>0</v>
      </c>
    </row>
    <row r="16" spans="1:7">
      <c r="A16" s="33">
        <v>5</v>
      </c>
      <c r="B16" s="34" t="s">
        <v>26</v>
      </c>
      <c r="C16" s="35">
        <f>C18+C19+C20</f>
        <v>14016.4</v>
      </c>
      <c r="D16" s="158"/>
      <c r="E16" s="158"/>
      <c r="F16" s="158"/>
      <c r="G16" s="30"/>
    </row>
    <row r="17" spans="1:6">
      <c r="A17" s="33"/>
      <c r="B17" s="34" t="s">
        <v>27</v>
      </c>
      <c r="C17" s="37"/>
    </row>
    <row r="18" spans="1:6">
      <c r="A18" s="36" t="s">
        <v>28</v>
      </c>
      <c r="B18" s="34" t="s">
        <v>298</v>
      </c>
      <c r="C18" s="35">
        <v>8281.2999999999993</v>
      </c>
      <c r="E18" s="120"/>
      <c r="F18" s="120"/>
    </row>
    <row r="19" spans="1:6">
      <c r="A19" s="36" t="s">
        <v>29</v>
      </c>
      <c r="B19" s="34" t="s">
        <v>299</v>
      </c>
      <c r="C19" s="35">
        <v>5416.5</v>
      </c>
      <c r="E19" s="120"/>
      <c r="F19" s="120"/>
    </row>
    <row r="20" spans="1:6">
      <c r="A20" s="36" t="s">
        <v>30</v>
      </c>
      <c r="B20" s="34" t="s">
        <v>304</v>
      </c>
      <c r="C20" s="35">
        <v>318.60000000000002</v>
      </c>
      <c r="E20" s="120"/>
      <c r="F20" s="120"/>
    </row>
    <row r="21" spans="1:6" ht="31.5">
      <c r="A21" s="33">
        <v>6</v>
      </c>
      <c r="B21" s="34" t="s">
        <v>169</v>
      </c>
      <c r="C21" s="35">
        <f>F21</f>
        <v>0</v>
      </c>
      <c r="E21" s="120"/>
      <c r="F21" s="120"/>
    </row>
    <row r="22" spans="1:6">
      <c r="A22" s="33">
        <v>7</v>
      </c>
      <c r="B22" s="34" t="s">
        <v>31</v>
      </c>
      <c r="C22" s="35">
        <v>15841.8</v>
      </c>
      <c r="E22" s="120"/>
      <c r="F22" s="120"/>
    </row>
    <row r="23" spans="1:6">
      <c r="A23" s="33">
        <v>8</v>
      </c>
      <c r="B23" s="34" t="s">
        <v>297</v>
      </c>
      <c r="C23" s="37">
        <v>20705.599999999999</v>
      </c>
    </row>
    <row r="24" spans="1:6">
      <c r="A24" s="33">
        <v>9</v>
      </c>
      <c r="B24" s="34" t="s">
        <v>32</v>
      </c>
      <c r="C24" s="159"/>
    </row>
    <row r="25" spans="1:6" ht="18.75" customHeight="1">
      <c r="A25" s="33">
        <v>10</v>
      </c>
      <c r="B25" s="99" t="s">
        <v>33</v>
      </c>
      <c r="C25" s="159">
        <v>5900</v>
      </c>
    </row>
    <row r="26" spans="1:6" ht="47.25">
      <c r="A26" s="33">
        <v>11</v>
      </c>
      <c r="B26" s="34" t="s">
        <v>296</v>
      </c>
      <c r="C26" s="159">
        <v>24316.6</v>
      </c>
      <c r="E26" s="120"/>
      <c r="F26" s="120"/>
    </row>
    <row r="27" spans="1:6">
      <c r="A27" s="33">
        <v>12</v>
      </c>
      <c r="B27" s="34" t="s">
        <v>300</v>
      </c>
      <c r="C27" s="157">
        <v>16458.8</v>
      </c>
      <c r="E27" s="120"/>
      <c r="F27" s="120"/>
    </row>
    <row r="28" spans="1:6" ht="31.5">
      <c r="A28" s="33">
        <v>13</v>
      </c>
      <c r="B28" s="34" t="s">
        <v>34</v>
      </c>
      <c r="C28" s="35">
        <v>850</v>
      </c>
    </row>
    <row r="29" spans="1:6" ht="33.75" customHeight="1">
      <c r="A29" s="33">
        <v>14</v>
      </c>
      <c r="B29" s="34" t="s">
        <v>349</v>
      </c>
      <c r="C29" s="35">
        <v>65190.400000000001</v>
      </c>
    </row>
    <row r="30" spans="1:6" ht="31.5">
      <c r="A30" s="33">
        <v>15</v>
      </c>
      <c r="B30" s="34" t="s">
        <v>35</v>
      </c>
      <c r="C30" s="35">
        <v>714.7</v>
      </c>
      <c r="E30" s="120"/>
      <c r="F30" s="120"/>
    </row>
    <row r="31" spans="1:6">
      <c r="A31" s="33">
        <v>16</v>
      </c>
      <c r="B31" s="34" t="s">
        <v>36</v>
      </c>
      <c r="C31" s="35">
        <v>0</v>
      </c>
    </row>
    <row r="32" spans="1:6">
      <c r="A32" s="33">
        <v>17</v>
      </c>
      <c r="B32" s="34" t="s">
        <v>301</v>
      </c>
      <c r="C32" s="35"/>
    </row>
    <row r="33" spans="1:6">
      <c r="A33" s="33">
        <v>18</v>
      </c>
      <c r="B33" s="34" t="s">
        <v>302</v>
      </c>
      <c r="C33" s="35">
        <v>36586.5</v>
      </c>
      <c r="E33" s="120"/>
      <c r="F33" s="120"/>
    </row>
    <row r="34" spans="1:6">
      <c r="A34" s="33">
        <v>19</v>
      </c>
      <c r="B34" s="34" t="s">
        <v>303</v>
      </c>
      <c r="C34" s="35">
        <v>3246.8</v>
      </c>
      <c r="E34" s="120"/>
      <c r="F34" s="120"/>
    </row>
    <row r="35" spans="1:6">
      <c r="A35" s="33">
        <v>20</v>
      </c>
      <c r="B35" s="34" t="s">
        <v>4</v>
      </c>
      <c r="C35" s="35">
        <f>+C9+C10+C14+C15+C16+C21+C22+C23+C24+C25+C26+C27+C28+C29+C30+C31+C32+C33+C34</f>
        <v>453384.69999999995</v>
      </c>
    </row>
    <row r="36" spans="1:6" ht="31.5">
      <c r="A36" s="33">
        <v>21</v>
      </c>
      <c r="B36" s="34" t="s">
        <v>295</v>
      </c>
      <c r="C36" s="157">
        <v>494741.3</v>
      </c>
      <c r="E36" s="174">
        <f>'З.П.Упр и всп пер'!E30+'З.П.Упр и всп пер'!F30+'З.П.Упр и всп пер'!H30</f>
        <v>494741285</v>
      </c>
    </row>
    <row r="37" spans="1:6" ht="15.75" customHeight="1">
      <c r="A37" s="33">
        <v>22</v>
      </c>
      <c r="B37" s="34" t="s">
        <v>173</v>
      </c>
      <c r="C37" s="35">
        <f>ROUND(C35/C36*100,1)</f>
        <v>91.6</v>
      </c>
    </row>
    <row r="38" spans="1:6">
      <c r="A38" s="39" t="s">
        <v>6</v>
      </c>
      <c r="C38" s="40" t="s">
        <v>250</v>
      </c>
    </row>
    <row r="39" spans="1:6">
      <c r="A39" s="39"/>
      <c r="C39" s="40"/>
    </row>
    <row r="40" spans="1:6" ht="25.5" customHeight="1">
      <c r="A40" s="39"/>
      <c r="C40" s="40"/>
    </row>
  </sheetData>
  <mergeCells count="3">
    <mergeCell ref="A4:B4"/>
    <mergeCell ref="A6:C6"/>
    <mergeCell ref="A7:C7"/>
  </mergeCells>
  <phoneticPr fontId="0" type="noConversion"/>
  <pageMargins left="0.78740157480314965" right="0.78740157480314965" top="0.59055118110236227" bottom="0.39370078740157483" header="0.51181102362204722" footer="0.51181102362204722"/>
  <pageSetup paperSize="9" scale="70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C12"/>
  <sheetViews>
    <sheetView workbookViewId="0">
      <selection activeCell="C6" sqref="C6"/>
    </sheetView>
  </sheetViews>
  <sheetFormatPr defaultRowHeight="15.75"/>
  <cols>
    <col min="1" max="1" width="7.42578125" style="2" customWidth="1"/>
    <col min="2" max="2" width="53.28515625" style="2" customWidth="1"/>
    <col min="3" max="3" width="17.5703125" style="2" customWidth="1"/>
    <col min="4" max="16384" width="9.140625" style="2"/>
  </cols>
  <sheetData>
    <row r="1" spans="1:3" s="24" customFormat="1" ht="62.25" customHeight="1">
      <c r="A1" s="320" t="s">
        <v>362</v>
      </c>
      <c r="B1" s="320"/>
      <c r="C1" s="320"/>
    </row>
    <row r="2" spans="1:3" s="24" customFormat="1" ht="33.75" customHeight="1">
      <c r="A2" s="96"/>
      <c r="B2" s="96"/>
      <c r="C2" s="96"/>
    </row>
    <row r="3" spans="1:3" s="24" customFormat="1" ht="35.25" customHeight="1">
      <c r="A3" s="96"/>
      <c r="B3" s="96"/>
      <c r="C3" s="96"/>
    </row>
    <row r="4" spans="1:3" s="24" customFormat="1" ht="43.5" customHeight="1">
      <c r="A4" s="23" t="s">
        <v>0</v>
      </c>
      <c r="B4" s="23" t="s">
        <v>43</v>
      </c>
      <c r="C4" s="233" t="s">
        <v>356</v>
      </c>
    </row>
    <row r="5" spans="1:3" ht="145.5" customHeight="1">
      <c r="A5" s="42">
        <v>1</v>
      </c>
      <c r="B5" s="101" t="s">
        <v>290</v>
      </c>
      <c r="C5" s="188">
        <f>'З.П.Упр и всп пер'!G30</f>
        <v>45281389</v>
      </c>
    </row>
    <row r="6" spans="1:3" ht="27" customHeight="1">
      <c r="A6" s="5">
        <v>2</v>
      </c>
      <c r="B6" s="6" t="s">
        <v>289</v>
      </c>
      <c r="C6" s="188">
        <f>'З.П.Упр и всп пер'!E30+'З.П.Упр и всп пер'!F30+'З.П.Упр и всп пер'!H30</f>
        <v>494741285</v>
      </c>
    </row>
    <row r="7" spans="1:3" ht="39.75" customHeight="1">
      <c r="A7" s="5">
        <v>3</v>
      </c>
      <c r="B7" s="6" t="s">
        <v>44</v>
      </c>
      <c r="C7" s="187">
        <f>+ROUND(C5/C6*100,1)</f>
        <v>9.1999999999999993</v>
      </c>
    </row>
    <row r="12" spans="1:3">
      <c r="A12" s="2" t="s">
        <v>253</v>
      </c>
    </row>
  </sheetData>
  <mergeCells count="1">
    <mergeCell ref="A1:C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O25"/>
  <sheetViews>
    <sheetView topLeftCell="A7" workbookViewId="0">
      <selection activeCell="J29" sqref="J29"/>
    </sheetView>
  </sheetViews>
  <sheetFormatPr defaultRowHeight="15.75"/>
  <cols>
    <col min="1" max="1" width="5.28515625" style="3" customWidth="1"/>
    <col min="2" max="2" width="22.28515625" style="4" customWidth="1"/>
    <col min="3" max="3" width="15.140625" style="2" customWidth="1"/>
    <col min="4" max="4" width="14.28515625" style="2" customWidth="1"/>
    <col min="5" max="5" width="19.7109375" style="2" customWidth="1"/>
    <col min="6" max="6" width="9.140625" style="2"/>
    <col min="7" max="7" width="11.42578125" style="2" customWidth="1"/>
    <col min="8" max="8" width="12.85546875" style="2" customWidth="1"/>
    <col min="9" max="9" width="10.42578125" style="2" customWidth="1"/>
    <col min="10" max="10" width="17.140625" style="2" customWidth="1"/>
    <col min="11" max="11" width="10.28515625" style="2" customWidth="1"/>
    <col min="12" max="12" width="14" style="2" customWidth="1"/>
    <col min="13" max="13" width="12" style="2" customWidth="1"/>
    <col min="14" max="16384" width="9.140625" style="2"/>
  </cols>
  <sheetData>
    <row r="1" spans="1:13">
      <c r="C1" s="73"/>
      <c r="D1"/>
      <c r="E1"/>
      <c r="F1"/>
      <c r="G1"/>
      <c r="H1"/>
      <c r="I1"/>
    </row>
    <row r="2" spans="1:13">
      <c r="C2" s="73"/>
      <c r="D2"/>
      <c r="E2"/>
      <c r="F2"/>
      <c r="G2"/>
      <c r="H2"/>
      <c r="I2"/>
    </row>
    <row r="3" spans="1:13">
      <c r="C3" s="73"/>
      <c r="D3"/>
      <c r="E3"/>
      <c r="F3"/>
      <c r="G3"/>
      <c r="H3"/>
      <c r="I3"/>
    </row>
    <row r="4" spans="1:13">
      <c r="C4" s="73"/>
      <c r="D4"/>
      <c r="E4"/>
      <c r="F4"/>
      <c r="G4"/>
      <c r="H4"/>
      <c r="I4"/>
    </row>
    <row r="5" spans="1:13">
      <c r="C5" s="73"/>
      <c r="D5"/>
      <c r="E5"/>
      <c r="F5"/>
      <c r="G5"/>
      <c r="H5"/>
      <c r="I5"/>
    </row>
    <row r="6" spans="1:13" ht="29.25" customHeight="1">
      <c r="A6" s="325" t="s">
        <v>254</v>
      </c>
      <c r="B6" s="325"/>
      <c r="C6" s="325"/>
      <c r="D6" s="325"/>
      <c r="E6" s="325"/>
      <c r="F6" s="325"/>
      <c r="G6" s="325"/>
      <c r="H6" s="325"/>
    </row>
    <row r="7" spans="1:13" s="11" customFormat="1" ht="25.5" customHeight="1">
      <c r="A7" s="326" t="s">
        <v>8</v>
      </c>
      <c r="B7" s="326"/>
      <c r="C7" s="326"/>
      <c r="D7" s="326"/>
      <c r="E7" s="326"/>
      <c r="F7" s="326"/>
      <c r="G7" s="326"/>
      <c r="H7" s="326"/>
    </row>
    <row r="8" spans="1:13" s="11" customFormat="1" ht="18.75" customHeight="1">
      <c r="A8" s="327" t="s">
        <v>9</v>
      </c>
      <c r="B8" s="327"/>
      <c r="C8" s="327"/>
      <c r="D8" s="327"/>
      <c r="E8" s="327"/>
      <c r="F8" s="327"/>
      <c r="G8" s="327"/>
      <c r="H8" s="327"/>
    </row>
    <row r="9" spans="1:13" s="11" customFormat="1" ht="26.25" customHeight="1">
      <c r="A9" s="327" t="s">
        <v>160</v>
      </c>
      <c r="B9" s="327"/>
      <c r="C9" s="327"/>
      <c r="D9" s="327"/>
      <c r="E9" s="327"/>
      <c r="F9" s="327"/>
      <c r="G9" s="327"/>
      <c r="H9" s="327"/>
      <c r="K9" s="2"/>
      <c r="L9" s="18"/>
    </row>
    <row r="10" spans="1:13" ht="48" customHeight="1">
      <c r="A10" s="322" t="s">
        <v>0</v>
      </c>
      <c r="B10" s="322" t="s">
        <v>10</v>
      </c>
      <c r="C10" s="322" t="s">
        <v>11</v>
      </c>
      <c r="D10" s="328" t="s">
        <v>12</v>
      </c>
      <c r="E10" s="329"/>
      <c r="F10" s="329"/>
      <c r="G10" s="236"/>
      <c r="H10" s="322" t="s">
        <v>14</v>
      </c>
    </row>
    <row r="11" spans="1:13" ht="118.5" customHeight="1">
      <c r="A11" s="323"/>
      <c r="B11" s="323"/>
      <c r="C11" s="323"/>
      <c r="D11" s="109" t="s">
        <v>380</v>
      </c>
      <c r="E11" s="13" t="s">
        <v>373</v>
      </c>
      <c r="F11" s="7" t="s">
        <v>13</v>
      </c>
      <c r="G11" s="235" t="s">
        <v>357</v>
      </c>
      <c r="H11" s="323"/>
      <c r="J11" s="9" t="s">
        <v>37</v>
      </c>
      <c r="L11" s="9" t="s">
        <v>37</v>
      </c>
    </row>
    <row r="12" spans="1:13" s="3" customFormat="1" ht="31.5" customHeight="1">
      <c r="A12" s="94">
        <v>1</v>
      </c>
      <c r="B12" s="95">
        <v>2</v>
      </c>
      <c r="C12" s="94">
        <v>3</v>
      </c>
      <c r="D12" s="94">
        <v>4</v>
      </c>
      <c r="E12" s="94">
        <v>5</v>
      </c>
      <c r="F12" s="94">
        <v>6</v>
      </c>
      <c r="G12" s="94">
        <v>7</v>
      </c>
      <c r="H12" s="94">
        <v>8</v>
      </c>
      <c r="J12" s="19" t="s">
        <v>39</v>
      </c>
      <c r="K12" s="13" t="s">
        <v>38</v>
      </c>
      <c r="L12" s="1" t="s">
        <v>40</v>
      </c>
      <c r="M12" s="1" t="s">
        <v>41</v>
      </c>
    </row>
    <row r="13" spans="1:13" s="3" customFormat="1" ht="33.75" customHeight="1">
      <c r="A13" s="5">
        <v>1</v>
      </c>
      <c r="B13" s="1" t="s">
        <v>60</v>
      </c>
      <c r="C13" s="20">
        <f>M16</f>
        <v>148.58333333333334</v>
      </c>
      <c r="D13" s="17">
        <f>M25</f>
        <v>1613947.537</v>
      </c>
      <c r="E13" s="17"/>
      <c r="F13" s="17">
        <f>+D13*0.3</f>
        <v>484184.2611</v>
      </c>
      <c r="G13" s="17">
        <v>0</v>
      </c>
      <c r="H13" s="93">
        <f>ROUND(M13,1)</f>
        <v>235.4</v>
      </c>
      <c r="J13" s="17">
        <f>SUM(D13:F13)</f>
        <v>2098131.7981000002</v>
      </c>
      <c r="K13" s="248">
        <f>C13</f>
        <v>148.58333333333334</v>
      </c>
      <c r="L13" s="17">
        <f>ROUND(+J13/K13,0)</f>
        <v>14121</v>
      </c>
      <c r="M13" s="248">
        <f>ROUND(+L13/60,1)</f>
        <v>235.4</v>
      </c>
    </row>
    <row r="14" spans="1:13" s="3" customFormat="1" ht="35.25" customHeight="1">
      <c r="A14" s="5">
        <v>2</v>
      </c>
      <c r="B14" s="1" t="s">
        <v>81</v>
      </c>
      <c r="C14" s="20">
        <f>M16</f>
        <v>148.58333333333334</v>
      </c>
      <c r="D14" s="17">
        <f>K25</f>
        <v>2136476.3759999997</v>
      </c>
      <c r="E14" s="17"/>
      <c r="F14" s="17">
        <f>+D14*0.3</f>
        <v>640942.91279999993</v>
      </c>
      <c r="G14" s="17">
        <f>K20*15%</f>
        <v>178437.23999999996</v>
      </c>
      <c r="H14" s="93">
        <f>ROUND(M14,1)</f>
        <v>331.6</v>
      </c>
      <c r="J14" s="17">
        <f>SUM(D14:G14)</f>
        <v>2955856.5287999995</v>
      </c>
      <c r="K14" s="248">
        <f>C14</f>
        <v>148.58333333333334</v>
      </c>
      <c r="L14" s="17">
        <f>ROUND(+J14/K14,0)</f>
        <v>19894</v>
      </c>
      <c r="M14" s="248">
        <f>ROUND(+L14/60,1)</f>
        <v>331.6</v>
      </c>
    </row>
    <row r="15" spans="1:13" s="3" customFormat="1">
      <c r="A15" s="10"/>
      <c r="B15" s="14"/>
      <c r="C15" s="10"/>
      <c r="D15" s="10"/>
      <c r="E15" s="10"/>
      <c r="F15" s="10"/>
      <c r="G15" s="10"/>
      <c r="H15" s="10"/>
    </row>
    <row r="16" spans="1:13" s="3" customFormat="1" ht="31.5">
      <c r="A16" s="10"/>
      <c r="B16" s="106" t="s">
        <v>6</v>
      </c>
      <c r="C16" s="2"/>
      <c r="D16" s="2"/>
      <c r="E16" s="2" t="s">
        <v>250</v>
      </c>
      <c r="F16" s="10"/>
      <c r="G16" s="10"/>
      <c r="H16" s="10"/>
      <c r="J16" s="229" t="s">
        <v>365</v>
      </c>
      <c r="K16" s="232">
        <v>1783</v>
      </c>
      <c r="L16" s="230">
        <v>12</v>
      </c>
      <c r="M16" s="247">
        <f>K16/L16</f>
        <v>148.58333333333334</v>
      </c>
    </row>
    <row r="17" spans="1:15" s="3" customFormat="1">
      <c r="A17" s="10"/>
      <c r="B17" s="14"/>
      <c r="C17" s="10"/>
      <c r="D17" s="10"/>
      <c r="E17" s="10"/>
      <c r="F17" s="10"/>
      <c r="G17" s="10"/>
      <c r="H17" s="10"/>
    </row>
    <row r="18" spans="1:15">
      <c r="A18" s="8"/>
      <c r="F18" s="321"/>
      <c r="G18" s="321"/>
      <c r="H18" s="321"/>
      <c r="J18" s="324" t="s">
        <v>372</v>
      </c>
      <c r="K18" s="324"/>
      <c r="M18" s="2" t="s">
        <v>60</v>
      </c>
    </row>
    <row r="19" spans="1:15" ht="33" customHeight="1">
      <c r="A19" s="8"/>
      <c r="F19" s="321"/>
      <c r="G19" s="321"/>
      <c r="H19" s="321"/>
      <c r="I19" s="238"/>
      <c r="J19" s="241" t="s">
        <v>369</v>
      </c>
      <c r="K19" s="246">
        <v>295000</v>
      </c>
      <c r="L19" s="240"/>
      <c r="M19" s="240"/>
      <c r="N19" s="240"/>
      <c r="O19" s="240"/>
    </row>
    <row r="20" spans="1:15" ht="18.75">
      <c r="A20" s="108"/>
      <c r="B20" s="106"/>
      <c r="I20" s="237"/>
      <c r="J20" s="11" t="s">
        <v>366</v>
      </c>
      <c r="K20" s="11">
        <f>2.48*1.626*K19</f>
        <v>1189581.5999999999</v>
      </c>
      <c r="M20" s="242">
        <f>2.17*1.798*K19</f>
        <v>1150989.7</v>
      </c>
    </row>
    <row r="21" spans="1:15">
      <c r="J21" s="11" t="s">
        <v>367</v>
      </c>
      <c r="K21" s="11">
        <f>K19*0.75</f>
        <v>221250</v>
      </c>
      <c r="M21" s="2">
        <f>K19*0.75</f>
        <v>221250</v>
      </c>
    </row>
    <row r="22" spans="1:15">
      <c r="J22" s="11" t="s">
        <v>368</v>
      </c>
      <c r="K22" s="245">
        <f>K20*0.4</f>
        <v>475832.63999999996</v>
      </c>
      <c r="L22" s="243"/>
      <c r="M22" s="242"/>
    </row>
    <row r="23" spans="1:15" ht="41.25" customHeight="1">
      <c r="C23" s="238"/>
      <c r="D23" s="240"/>
      <c r="E23" s="240"/>
      <c r="F23" s="240"/>
      <c r="G23" s="240"/>
      <c r="H23" s="240"/>
      <c r="I23" s="240"/>
      <c r="J23" s="244" t="s">
        <v>370</v>
      </c>
      <c r="K23" s="245">
        <f>K20*0.2</f>
        <v>237916.31999999998</v>
      </c>
      <c r="L23" s="243">
        <v>0.2</v>
      </c>
      <c r="M23" s="242">
        <f>M20*0.2</f>
        <v>230197.94</v>
      </c>
    </row>
    <row r="24" spans="1:15" ht="32.25">
      <c r="C24" s="237"/>
      <c r="J24" s="244" t="s">
        <v>379</v>
      </c>
      <c r="K24" s="245">
        <f>K20*0.01</f>
        <v>11895.815999999999</v>
      </c>
      <c r="L24" s="243">
        <v>0.01</v>
      </c>
      <c r="M24" s="242">
        <f>M20*0.01</f>
        <v>11509.896999999999</v>
      </c>
    </row>
    <row r="25" spans="1:15">
      <c r="J25" s="2" t="s">
        <v>371</v>
      </c>
      <c r="K25" s="2">
        <f>SUM(K20:K24)</f>
        <v>2136476.3759999997</v>
      </c>
      <c r="M25" s="242">
        <f>SUM(M20:M24)</f>
        <v>1613947.537</v>
      </c>
    </row>
  </sheetData>
  <mergeCells count="12">
    <mergeCell ref="J18:K18"/>
    <mergeCell ref="A6:H6"/>
    <mergeCell ref="F18:H18"/>
    <mergeCell ref="A7:H7"/>
    <mergeCell ref="A8:H8"/>
    <mergeCell ref="A9:H9"/>
    <mergeCell ref="D10:F10"/>
    <mergeCell ref="F19:H19"/>
    <mergeCell ref="H10:H11"/>
    <mergeCell ref="A10:A11"/>
    <mergeCell ref="B10:B11"/>
    <mergeCell ref="C10:C1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0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J51"/>
  <sheetViews>
    <sheetView topLeftCell="A16" workbookViewId="0">
      <selection activeCell="F10" sqref="F10"/>
    </sheetView>
  </sheetViews>
  <sheetFormatPr defaultRowHeight="15.75"/>
  <cols>
    <col min="1" max="1" width="6.140625" style="3" customWidth="1"/>
    <col min="2" max="2" width="28.7109375" style="4" customWidth="1"/>
    <col min="3" max="3" width="8.7109375" style="2" customWidth="1"/>
    <col min="4" max="4" width="17.140625" style="2" customWidth="1"/>
    <col min="5" max="5" width="14.140625" style="2" customWidth="1"/>
    <col min="6" max="6" width="11.85546875" style="2" customWidth="1"/>
    <col min="7" max="16384" width="9.140625" style="2"/>
  </cols>
  <sheetData>
    <row r="2" spans="1:10" ht="21.75" customHeight="1">
      <c r="B2" s="330" t="s">
        <v>251</v>
      </c>
      <c r="C2" s="331"/>
      <c r="D2" s="331"/>
      <c r="E2" s="331"/>
      <c r="F2" s="331"/>
      <c r="G2"/>
    </row>
    <row r="3" spans="1:10" s="11" customFormat="1" ht="15" customHeight="1">
      <c r="A3" s="326" t="s">
        <v>8</v>
      </c>
      <c r="B3" s="326"/>
      <c r="C3" s="326"/>
      <c r="D3" s="326"/>
      <c r="E3" s="326"/>
      <c r="F3" s="326"/>
    </row>
    <row r="4" spans="1:10" s="11" customFormat="1" ht="26.25" customHeight="1">
      <c r="A4" s="327" t="s">
        <v>15</v>
      </c>
      <c r="B4" s="327"/>
      <c r="C4" s="327"/>
      <c r="D4" s="327"/>
      <c r="E4" s="327"/>
      <c r="F4" s="327"/>
    </row>
    <row r="5" spans="1:10" s="11" customFormat="1" ht="26.25" customHeight="1">
      <c r="A5" s="327" t="s">
        <v>84</v>
      </c>
      <c r="B5" s="327"/>
      <c r="C5" s="327"/>
      <c r="D5" s="327"/>
      <c r="E5" s="327"/>
      <c r="F5" s="327"/>
      <c r="G5" s="21"/>
    </row>
    <row r="6" spans="1:10" ht="29.25" customHeight="1">
      <c r="A6" s="344" t="s">
        <v>156</v>
      </c>
      <c r="B6" s="344"/>
      <c r="C6" s="344"/>
      <c r="D6" s="344"/>
      <c r="E6" s="344"/>
      <c r="F6" s="344"/>
      <c r="G6" s="22"/>
    </row>
    <row r="7" spans="1:10" ht="92.25" customHeight="1">
      <c r="A7" s="12" t="s">
        <v>0</v>
      </c>
      <c r="B7" s="12" t="s">
        <v>16</v>
      </c>
      <c r="C7" s="12" t="s">
        <v>17</v>
      </c>
      <c r="D7" s="7" t="s">
        <v>10</v>
      </c>
      <c r="E7" s="15" t="s">
        <v>18</v>
      </c>
      <c r="F7" s="15" t="s">
        <v>19</v>
      </c>
    </row>
    <row r="8" spans="1:10" s="3" customFormat="1">
      <c r="A8" s="5">
        <v>1</v>
      </c>
      <c r="B8" s="1">
        <v>2</v>
      </c>
      <c r="C8" s="5">
        <v>3</v>
      </c>
      <c r="D8" s="5">
        <v>4</v>
      </c>
      <c r="E8" s="5">
        <v>5</v>
      </c>
      <c r="F8" s="5">
        <v>6</v>
      </c>
      <c r="G8"/>
      <c r="H8"/>
      <c r="I8"/>
    </row>
    <row r="9" spans="1:10" s="3" customFormat="1" ht="25.5" customHeight="1">
      <c r="A9" s="74" t="s">
        <v>117</v>
      </c>
      <c r="B9" s="332" t="s">
        <v>118</v>
      </c>
      <c r="C9" s="333"/>
      <c r="D9" s="333"/>
      <c r="E9" s="333"/>
      <c r="F9" s="334"/>
      <c r="G9" s="119"/>
      <c r="H9"/>
      <c r="I9"/>
    </row>
    <row r="10" spans="1:10" s="3" customFormat="1">
      <c r="A10" s="177" t="s">
        <v>119</v>
      </c>
      <c r="B10" s="75" t="s">
        <v>120</v>
      </c>
      <c r="C10" s="79">
        <v>42</v>
      </c>
      <c r="D10" s="1" t="s">
        <v>60</v>
      </c>
      <c r="E10" s="25">
        <f>+'з.пл. за 1 мин. '!H13</f>
        <v>235.4</v>
      </c>
      <c r="F10" s="25">
        <f>+C10*E10</f>
        <v>9886.8000000000011</v>
      </c>
      <c r="G10" s="100"/>
    </row>
    <row r="11" spans="1:10" s="3" customFormat="1">
      <c r="A11" s="177" t="s">
        <v>121</v>
      </c>
      <c r="B11" s="75" t="s">
        <v>122</v>
      </c>
      <c r="C11" s="79">
        <v>70</v>
      </c>
      <c r="D11" s="1" t="s">
        <v>60</v>
      </c>
      <c r="E11" s="25">
        <f>+'з.пл. за 1 мин. '!H13</f>
        <v>235.4</v>
      </c>
      <c r="F11" s="25">
        <f t="shared" ref="F11:F22" si="0">+C11*E11</f>
        <v>16478</v>
      </c>
      <c r="G11" s="100"/>
    </row>
    <row r="12" spans="1:10" s="3" customFormat="1" ht="49.5" customHeight="1">
      <c r="A12" s="177" t="s">
        <v>123</v>
      </c>
      <c r="B12" s="75" t="s">
        <v>124</v>
      </c>
      <c r="C12" s="5">
        <v>84</v>
      </c>
      <c r="D12" s="1" t="s">
        <v>60</v>
      </c>
      <c r="E12" s="25">
        <f>+'з.пл. за 1 мин. '!H13</f>
        <v>235.4</v>
      </c>
      <c r="F12" s="25">
        <f t="shared" si="0"/>
        <v>19773.600000000002</v>
      </c>
      <c r="G12" s="100"/>
    </row>
    <row r="13" spans="1:10" s="3" customFormat="1" ht="48" customHeight="1">
      <c r="A13" s="177" t="s">
        <v>125</v>
      </c>
      <c r="B13" s="75" t="s">
        <v>126</v>
      </c>
      <c r="C13" s="5">
        <v>105</v>
      </c>
      <c r="D13" s="1" t="s">
        <v>60</v>
      </c>
      <c r="E13" s="25">
        <f>+'з.пл. за 1 мин. '!H13</f>
        <v>235.4</v>
      </c>
      <c r="F13" s="25">
        <f t="shared" si="0"/>
        <v>24717</v>
      </c>
      <c r="G13" s="27"/>
    </row>
    <row r="14" spans="1:10" s="3" customFormat="1">
      <c r="A14" s="177" t="s">
        <v>127</v>
      </c>
      <c r="B14" s="92" t="s">
        <v>129</v>
      </c>
      <c r="C14" s="5">
        <v>84</v>
      </c>
      <c r="D14" s="1" t="s">
        <v>60</v>
      </c>
      <c r="E14" s="25">
        <f>+'з.пл. за 1 мин. '!H13</f>
        <v>235.4</v>
      </c>
      <c r="F14" s="25">
        <f t="shared" si="0"/>
        <v>19773.600000000002</v>
      </c>
      <c r="G14" s="100"/>
    </row>
    <row r="15" spans="1:10" s="3" customFormat="1">
      <c r="A15" s="177" t="s">
        <v>128</v>
      </c>
      <c r="B15" s="92" t="s">
        <v>130</v>
      </c>
      <c r="C15" s="5">
        <v>140</v>
      </c>
      <c r="D15" s="1" t="s">
        <v>60</v>
      </c>
      <c r="E15" s="25">
        <f>+'з.пл. за 1 мин. '!H13</f>
        <v>235.4</v>
      </c>
      <c r="F15" s="25">
        <f t="shared" si="0"/>
        <v>32956</v>
      </c>
      <c r="G15" s="27"/>
    </row>
    <row r="16" spans="1:10" s="3" customFormat="1" ht="27" customHeight="1">
      <c r="A16" s="78" t="s">
        <v>131</v>
      </c>
      <c r="B16" s="335" t="s">
        <v>132</v>
      </c>
      <c r="C16" s="336"/>
      <c r="D16" s="336"/>
      <c r="E16" s="336"/>
      <c r="F16" s="337"/>
      <c r="G16" s="119"/>
      <c r="H16"/>
      <c r="I16"/>
      <c r="J16"/>
    </row>
    <row r="17" spans="1:9" s="3" customFormat="1" ht="31.5">
      <c r="A17" s="177" t="s">
        <v>133</v>
      </c>
      <c r="B17" s="75" t="s">
        <v>59</v>
      </c>
      <c r="C17" s="5">
        <v>105</v>
      </c>
      <c r="D17" s="1" t="s">
        <v>60</v>
      </c>
      <c r="E17" s="25">
        <f>+'з.пл. за 1 мин. '!H13</f>
        <v>235.4</v>
      </c>
      <c r="F17" s="25">
        <f t="shared" si="0"/>
        <v>24717</v>
      </c>
      <c r="G17"/>
      <c r="H17"/>
      <c r="I17"/>
    </row>
    <row r="18" spans="1:9" s="3" customFormat="1" ht="33" customHeight="1">
      <c r="A18" s="177" t="s">
        <v>134</v>
      </c>
      <c r="B18" s="75" t="s">
        <v>135</v>
      </c>
      <c r="C18" s="5">
        <v>140</v>
      </c>
      <c r="D18" s="1" t="s">
        <v>60</v>
      </c>
      <c r="E18" s="25">
        <f>+'з.пл. за 1 мин. '!H13</f>
        <v>235.4</v>
      </c>
      <c r="F18" s="25">
        <f t="shared" si="0"/>
        <v>32956</v>
      </c>
      <c r="G18"/>
      <c r="H18"/>
      <c r="I18"/>
    </row>
    <row r="19" spans="1:9" s="3" customFormat="1" ht="30.75" customHeight="1">
      <c r="A19" s="177" t="s">
        <v>136</v>
      </c>
      <c r="B19" s="75" t="s">
        <v>137</v>
      </c>
      <c r="C19" s="5">
        <v>60</v>
      </c>
      <c r="D19" s="1" t="s">
        <v>60</v>
      </c>
      <c r="E19" s="25">
        <f>+'з.пл. за 1 мин. '!H13</f>
        <v>235.4</v>
      </c>
      <c r="F19" s="25">
        <f t="shared" si="0"/>
        <v>14124</v>
      </c>
      <c r="G19"/>
      <c r="H19"/>
      <c r="I19"/>
    </row>
    <row r="20" spans="1:9" s="3" customFormat="1" ht="29.25" customHeight="1">
      <c r="A20" s="78" t="s">
        <v>138</v>
      </c>
      <c r="B20" s="89" t="s">
        <v>139</v>
      </c>
      <c r="C20" s="5">
        <v>56</v>
      </c>
      <c r="D20" s="1" t="s">
        <v>60</v>
      </c>
      <c r="E20" s="25">
        <f>+'з.пл. за 1 мин. '!H13</f>
        <v>235.4</v>
      </c>
      <c r="F20" s="25">
        <f t="shared" si="0"/>
        <v>13182.4</v>
      </c>
      <c r="G20" s="119"/>
      <c r="H20"/>
      <c r="I20"/>
    </row>
    <row r="21" spans="1:9" s="3" customFormat="1" ht="33" customHeight="1">
      <c r="A21" s="78" t="s">
        <v>140</v>
      </c>
      <c r="B21" s="338" t="s">
        <v>141</v>
      </c>
      <c r="C21" s="339"/>
      <c r="D21" s="339"/>
      <c r="E21" s="339"/>
      <c r="F21" s="340"/>
      <c r="G21" s="119"/>
      <c r="H21"/>
      <c r="I21"/>
    </row>
    <row r="22" spans="1:9" s="3" customFormat="1" ht="54.75" customHeight="1">
      <c r="A22" s="177" t="s">
        <v>142</v>
      </c>
      <c r="B22" s="75" t="s">
        <v>143</v>
      </c>
      <c r="C22" s="5">
        <v>127</v>
      </c>
      <c r="D22" s="1" t="s">
        <v>60</v>
      </c>
      <c r="E22" s="25">
        <f>+'з.пл. за 1 мин. '!H13</f>
        <v>235.4</v>
      </c>
      <c r="F22" s="25">
        <f t="shared" si="0"/>
        <v>29895.8</v>
      </c>
      <c r="G22" s="100"/>
    </row>
    <row r="23" spans="1:9" s="3" customFormat="1" ht="51.75" customHeight="1">
      <c r="A23" s="177" t="s">
        <v>145</v>
      </c>
      <c r="B23" s="75" t="s">
        <v>146</v>
      </c>
      <c r="C23" s="5">
        <v>175</v>
      </c>
      <c r="D23" s="1" t="s">
        <v>60</v>
      </c>
      <c r="E23" s="25">
        <f>+'з.пл. за 1 мин. '!H13</f>
        <v>235.4</v>
      </c>
      <c r="F23" s="25">
        <f>+C23*E23</f>
        <v>41195</v>
      </c>
      <c r="G23" s="119"/>
      <c r="H23"/>
      <c r="I23"/>
    </row>
    <row r="24" spans="1:9" s="3" customFormat="1" ht="42.75" customHeight="1">
      <c r="A24" s="78" t="s">
        <v>148</v>
      </c>
      <c r="B24" s="341" t="s">
        <v>149</v>
      </c>
      <c r="C24" s="342"/>
      <c r="D24" s="342"/>
      <c r="E24" s="342"/>
      <c r="F24" s="343"/>
      <c r="G24" s="119"/>
      <c r="H24"/>
      <c r="I24"/>
    </row>
    <row r="25" spans="1:9" s="3" customFormat="1" ht="49.5" customHeight="1">
      <c r="A25" s="177" t="s">
        <v>150</v>
      </c>
      <c r="B25" s="75" t="s">
        <v>143</v>
      </c>
      <c r="C25" s="5">
        <v>100</v>
      </c>
      <c r="D25" s="1" t="s">
        <v>60</v>
      </c>
      <c r="E25" s="25">
        <f>+'з.пл. за 1 мин. '!H13</f>
        <v>235.4</v>
      </c>
      <c r="F25" s="25">
        <f>+C25*E25</f>
        <v>23540</v>
      </c>
      <c r="G25" s="119"/>
      <c r="H25"/>
      <c r="I25"/>
    </row>
    <row r="26" spans="1:9" s="3" customFormat="1" ht="51.75" customHeight="1">
      <c r="A26" s="177" t="s">
        <v>151</v>
      </c>
      <c r="B26" s="75" t="s">
        <v>146</v>
      </c>
      <c r="C26" s="5">
        <v>150</v>
      </c>
      <c r="D26" s="1" t="s">
        <v>60</v>
      </c>
      <c r="E26" s="25">
        <f>+'з.пл. за 1 мин. '!H13</f>
        <v>235.4</v>
      </c>
      <c r="F26" s="25">
        <f>+C26*E26</f>
        <v>35310</v>
      </c>
      <c r="G26" s="100"/>
    </row>
    <row r="27" spans="1:9" s="3" customFormat="1" ht="42.75" customHeight="1">
      <c r="A27" s="87" t="s">
        <v>152</v>
      </c>
      <c r="B27" s="89" t="s">
        <v>162</v>
      </c>
      <c r="C27" s="5">
        <v>4</v>
      </c>
      <c r="D27" s="1" t="s">
        <v>60</v>
      </c>
      <c r="E27" s="25">
        <f>+'з.пл. за 1 мин. '!H13</f>
        <v>235.4</v>
      </c>
      <c r="F27" s="25">
        <f>+C27*E27</f>
        <v>941.6</v>
      </c>
      <c r="G27" s="27"/>
    </row>
    <row r="28" spans="1:9" s="3" customFormat="1" ht="28.5">
      <c r="A28" s="87" t="s">
        <v>154</v>
      </c>
      <c r="B28" s="89" t="s">
        <v>155</v>
      </c>
      <c r="C28" s="5">
        <v>84</v>
      </c>
      <c r="D28" s="1" t="s">
        <v>60</v>
      </c>
      <c r="E28" s="25">
        <f>+'з.пл. за 1 мин. '!H13</f>
        <v>235.4</v>
      </c>
      <c r="F28" s="25">
        <f>+C28*E28</f>
        <v>19773.600000000002</v>
      </c>
      <c r="G28" s="100"/>
    </row>
    <row r="29" spans="1:9" s="3" customFormat="1">
      <c r="A29" s="10"/>
      <c r="B29" s="14"/>
      <c r="C29" s="10"/>
      <c r="D29" s="10"/>
      <c r="E29" s="10"/>
      <c r="F29" s="10"/>
    </row>
    <row r="30" spans="1:9" s="3" customFormat="1">
      <c r="A30" s="10"/>
      <c r="B30" s="14"/>
      <c r="C30" s="10"/>
      <c r="D30" s="10"/>
      <c r="E30" s="10"/>
      <c r="F30" s="10"/>
      <c r="G30" s="100"/>
    </row>
    <row r="31" spans="1:9" s="3" customFormat="1">
      <c r="A31" s="10"/>
      <c r="B31" s="105" t="s">
        <v>113</v>
      </c>
      <c r="C31" s="10"/>
      <c r="D31" s="10"/>
      <c r="E31" s="97" t="s">
        <v>250</v>
      </c>
      <c r="F31" s="10"/>
      <c r="G31" s="27"/>
    </row>
    <row r="32" spans="1:9" s="3" customFormat="1">
      <c r="A32" s="10"/>
      <c r="B32" s="14"/>
      <c r="C32" s="10"/>
      <c r="D32" s="10"/>
      <c r="E32" s="10"/>
      <c r="F32" s="10"/>
      <c r="G32" s="100"/>
    </row>
    <row r="33" spans="1:7" s="3" customFormat="1">
      <c r="A33" s="10"/>
      <c r="B33" s="14"/>
      <c r="C33" s="10"/>
      <c r="D33" s="10"/>
      <c r="E33" s="10"/>
      <c r="F33" s="10"/>
      <c r="G33" s="27"/>
    </row>
    <row r="34" spans="1:7" s="3" customFormat="1">
      <c r="A34" s="10"/>
      <c r="B34" s="14"/>
      <c r="C34" s="10"/>
      <c r="D34" s="10"/>
      <c r="E34" s="10"/>
      <c r="F34" s="10"/>
      <c r="G34" s="100"/>
    </row>
    <row r="35" spans="1:7" s="3" customFormat="1">
      <c r="A35" s="10"/>
      <c r="B35" s="14"/>
      <c r="C35" s="10"/>
      <c r="D35" s="10"/>
      <c r="E35" s="10"/>
      <c r="F35" s="10"/>
      <c r="G35" s="27"/>
    </row>
    <row r="36" spans="1:7" s="3" customFormat="1">
      <c r="A36" s="10"/>
      <c r="B36" s="14"/>
      <c r="C36" s="10"/>
      <c r="D36" s="10"/>
      <c r="E36" s="10"/>
      <c r="F36" s="10"/>
      <c r="G36" s="100"/>
    </row>
    <row r="37" spans="1:7" s="3" customFormat="1">
      <c r="A37" s="10"/>
      <c r="B37" s="14"/>
      <c r="C37" s="10"/>
      <c r="D37" s="10"/>
      <c r="E37" s="10"/>
      <c r="F37" s="10"/>
      <c r="G37" s="27"/>
    </row>
    <row r="38" spans="1:7" s="3" customFormat="1">
      <c r="A38" s="10"/>
      <c r="B38" s="14"/>
      <c r="C38" s="10"/>
      <c r="D38" s="10"/>
      <c r="E38" s="10"/>
      <c r="F38" s="10"/>
      <c r="G38" s="100"/>
    </row>
    <row r="39" spans="1:7" s="3" customFormat="1">
      <c r="A39" s="10"/>
      <c r="B39" s="14"/>
      <c r="C39" s="10"/>
      <c r="D39" s="10"/>
      <c r="E39" s="10"/>
      <c r="F39" s="10"/>
      <c r="G39" s="27"/>
    </row>
    <row r="40" spans="1:7" s="3" customFormat="1">
      <c r="A40" s="10"/>
      <c r="B40" s="14"/>
      <c r="C40" s="10"/>
      <c r="D40" s="10"/>
      <c r="E40" s="10"/>
      <c r="F40" s="10"/>
      <c r="G40" s="100"/>
    </row>
    <row r="41" spans="1:7" s="3" customFormat="1">
      <c r="A41" s="10"/>
      <c r="B41" s="14"/>
      <c r="C41" s="10"/>
      <c r="D41" s="10"/>
      <c r="E41" s="10"/>
      <c r="F41" s="10"/>
      <c r="G41" s="27"/>
    </row>
    <row r="42" spans="1:7" s="3" customFormat="1">
      <c r="A42" s="10"/>
      <c r="B42" s="14"/>
      <c r="C42" s="10"/>
      <c r="D42" s="10"/>
      <c r="E42" s="10"/>
      <c r="F42" s="10"/>
      <c r="G42" s="100"/>
    </row>
    <row r="43" spans="1:7" s="3" customFormat="1">
      <c r="A43" s="10"/>
      <c r="B43" s="14"/>
      <c r="C43" s="10"/>
      <c r="D43" s="10"/>
      <c r="E43" s="10"/>
      <c r="F43" s="10"/>
    </row>
    <row r="44" spans="1:7" s="3" customFormat="1">
      <c r="A44" s="10"/>
      <c r="B44" s="14"/>
      <c r="C44" s="10"/>
      <c r="D44" s="10"/>
      <c r="E44" s="10"/>
      <c r="F44" s="10"/>
    </row>
    <row r="45" spans="1:7" s="3" customFormat="1">
      <c r="A45" s="10"/>
      <c r="B45" s="14"/>
      <c r="C45" s="10"/>
      <c r="D45" s="10"/>
      <c r="E45" s="10"/>
      <c r="F45" s="10"/>
    </row>
    <row r="46" spans="1:7" s="3" customFormat="1">
      <c r="A46" s="10"/>
      <c r="B46" s="14"/>
      <c r="C46" s="10"/>
      <c r="D46" s="10"/>
      <c r="E46" s="10"/>
      <c r="F46" s="10"/>
    </row>
    <row r="47" spans="1:7" s="3" customFormat="1">
      <c r="A47" s="10"/>
      <c r="B47" s="14"/>
      <c r="C47" s="10"/>
      <c r="D47" s="10"/>
      <c r="E47" s="10"/>
      <c r="F47" s="10"/>
    </row>
    <row r="48" spans="1:7" s="3" customFormat="1">
      <c r="A48" s="10"/>
      <c r="B48" s="14"/>
      <c r="C48" s="10"/>
      <c r="D48" s="10"/>
      <c r="E48" s="10"/>
      <c r="F48" s="10"/>
    </row>
    <row r="49" spans="1:6" s="3" customFormat="1">
      <c r="A49" s="10"/>
      <c r="B49" s="14"/>
      <c r="C49" s="10"/>
      <c r="D49" s="10"/>
      <c r="E49" s="10"/>
      <c r="F49" s="10"/>
    </row>
    <row r="50" spans="1:6">
      <c r="A50" s="8"/>
      <c r="F50" s="9"/>
    </row>
    <row r="51" spans="1:6" ht="25.5" customHeight="1">
      <c r="A51" s="8"/>
      <c r="F51" s="3"/>
    </row>
  </sheetData>
  <mergeCells count="9">
    <mergeCell ref="B2:F2"/>
    <mergeCell ref="B9:F9"/>
    <mergeCell ref="B16:F16"/>
    <mergeCell ref="B21:F21"/>
    <mergeCell ref="B24:F24"/>
    <mergeCell ref="A3:F3"/>
    <mergeCell ref="A4:F4"/>
    <mergeCell ref="A5:F5"/>
    <mergeCell ref="A6:F6"/>
  </mergeCells>
  <phoneticPr fontId="0" type="noConversion"/>
  <pageMargins left="0.78740157480314965" right="0.78740157480314965" top="0.59055118110236227" bottom="0.39370078740157483" header="0.51181102362204722" footer="0.51181102362204722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3"/>
  <sheetViews>
    <sheetView workbookViewId="0">
      <selection activeCell="L18" sqref="L18"/>
    </sheetView>
  </sheetViews>
  <sheetFormatPr defaultRowHeight="15.75"/>
  <cols>
    <col min="1" max="1" width="6.85546875" style="3" customWidth="1"/>
    <col min="2" max="2" width="28" style="4" customWidth="1"/>
    <col min="3" max="3" width="8.7109375" style="2" customWidth="1"/>
    <col min="4" max="4" width="17.140625" style="2" customWidth="1"/>
    <col min="5" max="5" width="14.140625" style="2" customWidth="1"/>
    <col min="6" max="6" width="11.85546875" style="2" customWidth="1"/>
    <col min="7" max="16384" width="9.140625" style="2"/>
  </cols>
  <sheetData>
    <row r="1" spans="1:9">
      <c r="C1" s="73"/>
      <c r="D1"/>
      <c r="E1"/>
      <c r="F1"/>
      <c r="G1"/>
    </row>
    <row r="2" spans="1:9">
      <c r="B2" s="345" t="s">
        <v>255</v>
      </c>
      <c r="C2" s="346"/>
      <c r="D2" s="346"/>
      <c r="E2" s="346"/>
      <c r="F2" s="346"/>
      <c r="G2"/>
    </row>
    <row r="3" spans="1:9" s="11" customFormat="1" ht="20.25" customHeight="1">
      <c r="A3" s="326" t="s">
        <v>8</v>
      </c>
      <c r="B3" s="326"/>
      <c r="C3" s="326"/>
      <c r="D3" s="326"/>
      <c r="E3" s="326"/>
      <c r="F3" s="326"/>
    </row>
    <row r="4" spans="1:9" s="11" customFormat="1" ht="16.5" customHeight="1">
      <c r="A4" s="327" t="s">
        <v>15</v>
      </c>
      <c r="B4" s="327"/>
      <c r="C4" s="327"/>
      <c r="D4" s="327"/>
      <c r="E4" s="327"/>
      <c r="F4" s="327"/>
    </row>
    <row r="5" spans="1:9" s="11" customFormat="1" ht="18" customHeight="1">
      <c r="A5" s="327" t="s">
        <v>84</v>
      </c>
      <c r="B5" s="327"/>
      <c r="C5" s="327"/>
      <c r="D5" s="327"/>
      <c r="E5" s="327"/>
      <c r="F5" s="327"/>
      <c r="G5" s="21"/>
    </row>
    <row r="6" spans="1:9" ht="29.25" customHeight="1">
      <c r="A6" s="344" t="s">
        <v>88</v>
      </c>
      <c r="B6" s="344"/>
      <c r="C6" s="344"/>
      <c r="D6" s="344"/>
      <c r="E6" s="344"/>
      <c r="F6" s="344"/>
      <c r="G6" s="22"/>
    </row>
    <row r="7" spans="1:9" ht="93" customHeight="1">
      <c r="A7" s="12" t="s">
        <v>0</v>
      </c>
      <c r="B7" s="12" t="s">
        <v>16</v>
      </c>
      <c r="C7" s="12" t="s">
        <v>17</v>
      </c>
      <c r="D7" s="7" t="s">
        <v>10</v>
      </c>
      <c r="E7" s="15" t="s">
        <v>18</v>
      </c>
      <c r="F7" s="15" t="s">
        <v>19</v>
      </c>
    </row>
    <row r="8" spans="1:9" s="3" customFormat="1" ht="13.5" customHeight="1">
      <c r="A8" s="103">
        <v>1</v>
      </c>
      <c r="B8" s="104">
        <v>2</v>
      </c>
      <c r="C8" s="103">
        <v>3</v>
      </c>
      <c r="D8" s="103">
        <v>4</v>
      </c>
      <c r="E8" s="103">
        <v>5</v>
      </c>
      <c r="F8" s="103">
        <v>6</v>
      </c>
    </row>
    <row r="9" spans="1:9" s="3" customFormat="1" ht="33" customHeight="1">
      <c r="A9" s="102" t="s">
        <v>85</v>
      </c>
      <c r="B9" s="341" t="s">
        <v>86</v>
      </c>
      <c r="C9" s="342"/>
      <c r="D9" s="342"/>
      <c r="E9" s="342"/>
      <c r="F9" s="343"/>
      <c r="G9" s="119"/>
      <c r="H9"/>
      <c r="I9"/>
    </row>
    <row r="10" spans="1:9" s="3" customFormat="1">
      <c r="A10" s="85" t="s">
        <v>87</v>
      </c>
      <c r="B10" s="84" t="s">
        <v>59</v>
      </c>
      <c r="C10" s="79">
        <v>40</v>
      </c>
      <c r="D10" s="1" t="s">
        <v>60</v>
      </c>
      <c r="E10" s="25">
        <f>+'з.пл. за 1 мин. '!H13</f>
        <v>235.4</v>
      </c>
      <c r="F10" s="25">
        <f t="shared" ref="F10:F25" si="0">+C10*E10</f>
        <v>9416</v>
      </c>
      <c r="G10" s="100"/>
    </row>
    <row r="11" spans="1:9" s="3" customFormat="1">
      <c r="A11" s="86" t="s">
        <v>89</v>
      </c>
      <c r="B11" s="84" t="s">
        <v>62</v>
      </c>
      <c r="C11" s="79">
        <v>38</v>
      </c>
      <c r="D11" s="1" t="s">
        <v>60</v>
      </c>
      <c r="E11" s="25">
        <f>+'з.пл. за 1 мин. '!H13</f>
        <v>235.4</v>
      </c>
      <c r="F11" s="25">
        <f t="shared" si="0"/>
        <v>8945.2000000000007</v>
      </c>
      <c r="G11" s="100"/>
    </row>
    <row r="12" spans="1:9" s="3" customFormat="1">
      <c r="A12" s="86" t="s">
        <v>90</v>
      </c>
      <c r="B12" s="84" t="s">
        <v>64</v>
      </c>
      <c r="C12" s="79">
        <v>22</v>
      </c>
      <c r="D12" s="1" t="s">
        <v>60</v>
      </c>
      <c r="E12" s="25">
        <f>+'з.пл. за 1 мин. '!H13</f>
        <v>235.4</v>
      </c>
      <c r="F12" s="25">
        <f t="shared" si="0"/>
        <v>5178.8</v>
      </c>
      <c r="G12" s="100"/>
    </row>
    <row r="13" spans="1:9" s="3" customFormat="1">
      <c r="A13" s="178" t="s">
        <v>91</v>
      </c>
      <c r="B13" s="335" t="s">
        <v>92</v>
      </c>
      <c r="C13" s="347"/>
      <c r="D13" s="347"/>
      <c r="E13" s="347"/>
      <c r="F13" s="348"/>
      <c r="G13" s="100"/>
    </row>
    <row r="14" spans="1:9" s="3" customFormat="1">
      <c r="A14" s="179" t="s">
        <v>93</v>
      </c>
      <c r="B14" s="84" t="s">
        <v>59</v>
      </c>
      <c r="C14" s="5">
        <v>29</v>
      </c>
      <c r="D14" s="1" t="s">
        <v>60</v>
      </c>
      <c r="E14" s="25">
        <f>+'з.пл. за 1 мин. '!H13</f>
        <v>235.4</v>
      </c>
      <c r="F14" s="25">
        <f t="shared" si="0"/>
        <v>6826.6</v>
      </c>
      <c r="G14" s="27"/>
    </row>
    <row r="15" spans="1:9" s="3" customFormat="1">
      <c r="A15" s="179" t="s">
        <v>94</v>
      </c>
      <c r="B15" s="84" t="s">
        <v>62</v>
      </c>
      <c r="C15" s="5">
        <v>26</v>
      </c>
      <c r="D15" s="1" t="s">
        <v>60</v>
      </c>
      <c r="E15" s="25">
        <f>+'з.пл. за 1 мин. '!H13</f>
        <v>235.4</v>
      </c>
      <c r="F15" s="25">
        <f t="shared" si="0"/>
        <v>6120.4000000000005</v>
      </c>
      <c r="G15" s="100"/>
    </row>
    <row r="16" spans="1:9" s="3" customFormat="1">
      <c r="A16" s="179" t="s">
        <v>95</v>
      </c>
      <c r="B16" s="84" t="s">
        <v>64</v>
      </c>
      <c r="C16" s="5">
        <v>17</v>
      </c>
      <c r="D16" s="1" t="s">
        <v>60</v>
      </c>
      <c r="E16" s="25">
        <f>+'з.пл. за 1 мин. '!H13</f>
        <v>235.4</v>
      </c>
      <c r="F16" s="25">
        <f t="shared" si="0"/>
        <v>4001.8</v>
      </c>
      <c r="G16" s="27"/>
    </row>
    <row r="17" spans="1:7" s="3" customFormat="1" ht="31.5" customHeight="1">
      <c r="A17" s="178" t="s">
        <v>96</v>
      </c>
      <c r="B17" s="341" t="s">
        <v>97</v>
      </c>
      <c r="C17" s="342"/>
      <c r="D17" s="342"/>
      <c r="E17" s="342"/>
      <c r="F17" s="343"/>
      <c r="G17" s="100"/>
    </row>
    <row r="18" spans="1:7" s="3" customFormat="1">
      <c r="A18" s="179" t="s">
        <v>98</v>
      </c>
      <c r="B18" s="84" t="s">
        <v>59</v>
      </c>
      <c r="C18" s="5">
        <v>172</v>
      </c>
      <c r="D18" s="1" t="s">
        <v>60</v>
      </c>
      <c r="E18" s="25">
        <f>+'з.пл. за 1 мин. '!H13</f>
        <v>235.4</v>
      </c>
      <c r="F18" s="25">
        <f t="shared" si="0"/>
        <v>40488.800000000003</v>
      </c>
      <c r="G18" s="100"/>
    </row>
    <row r="19" spans="1:7" s="3" customFormat="1">
      <c r="A19" s="179" t="s">
        <v>99</v>
      </c>
      <c r="B19" s="84" t="s">
        <v>62</v>
      </c>
      <c r="C19" s="5">
        <v>59</v>
      </c>
      <c r="D19" s="1" t="s">
        <v>60</v>
      </c>
      <c r="E19" s="25">
        <f>+'з.пл. за 1 мин. '!H13</f>
        <v>235.4</v>
      </c>
      <c r="F19" s="25">
        <f t="shared" si="0"/>
        <v>13888.6</v>
      </c>
      <c r="G19" s="100"/>
    </row>
    <row r="20" spans="1:7" s="3" customFormat="1">
      <c r="A20" s="179" t="s">
        <v>100</v>
      </c>
      <c r="B20" s="84" t="s">
        <v>64</v>
      </c>
      <c r="C20" s="5">
        <v>33</v>
      </c>
      <c r="D20" s="1" t="s">
        <v>60</v>
      </c>
      <c r="E20" s="25">
        <f>+'з.пл. за 1 мин. '!H13</f>
        <v>235.4</v>
      </c>
      <c r="F20" s="25">
        <f t="shared" si="0"/>
        <v>7768.2</v>
      </c>
      <c r="G20" s="100"/>
    </row>
    <row r="21" spans="1:7" s="3" customFormat="1">
      <c r="A21" s="178" t="s">
        <v>101</v>
      </c>
      <c r="B21" s="335" t="s">
        <v>102</v>
      </c>
      <c r="C21" s="336"/>
      <c r="D21" s="336"/>
      <c r="E21" s="336"/>
      <c r="F21" s="337"/>
      <c r="G21" s="27"/>
    </row>
    <row r="22" spans="1:7" s="3" customFormat="1">
      <c r="A22" s="179" t="s">
        <v>103</v>
      </c>
      <c r="B22" s="84" t="s">
        <v>59</v>
      </c>
      <c r="C22" s="5">
        <v>27</v>
      </c>
      <c r="D22" s="1" t="s">
        <v>60</v>
      </c>
      <c r="E22" s="25">
        <f>+'з.пл. за 1 мин. '!H13</f>
        <v>235.4</v>
      </c>
      <c r="F22" s="25">
        <f t="shared" si="0"/>
        <v>6355.8</v>
      </c>
      <c r="G22" s="27"/>
    </row>
    <row r="23" spans="1:7" s="3" customFormat="1">
      <c r="A23" s="179" t="s">
        <v>104</v>
      </c>
      <c r="B23" s="84" t="s">
        <v>62</v>
      </c>
      <c r="C23" s="5">
        <v>24</v>
      </c>
      <c r="D23" s="1" t="s">
        <v>60</v>
      </c>
      <c r="E23" s="25">
        <f>+'з.пл. за 1 мин. '!H13</f>
        <v>235.4</v>
      </c>
      <c r="F23" s="25">
        <f t="shared" si="0"/>
        <v>5649.6</v>
      </c>
      <c r="G23" s="27"/>
    </row>
    <row r="24" spans="1:7" s="3" customFormat="1">
      <c r="A24" s="179" t="s">
        <v>105</v>
      </c>
      <c r="B24" s="84" t="s">
        <v>64</v>
      </c>
      <c r="C24" s="5">
        <v>19</v>
      </c>
      <c r="D24" s="1" t="s">
        <v>60</v>
      </c>
      <c r="E24" s="25">
        <f>+'з.пл. за 1 мин. '!H13</f>
        <v>235.4</v>
      </c>
      <c r="F24" s="25">
        <f t="shared" si="0"/>
        <v>4472.6000000000004</v>
      </c>
      <c r="G24" s="27"/>
    </row>
    <row r="25" spans="1:7" s="3" customFormat="1" ht="27.75" customHeight="1">
      <c r="A25" s="87" t="s">
        <v>106</v>
      </c>
      <c r="B25" s="118" t="s">
        <v>166</v>
      </c>
      <c r="C25" s="5">
        <v>74</v>
      </c>
      <c r="D25" s="1" t="s">
        <v>60</v>
      </c>
      <c r="E25" s="25">
        <f>+'з.пл. за 1 мин. '!H13</f>
        <v>235.4</v>
      </c>
      <c r="F25" s="25">
        <f t="shared" si="0"/>
        <v>17419.600000000002</v>
      </c>
      <c r="G25" s="100"/>
    </row>
    <row r="26" spans="1:7" s="3" customFormat="1" ht="42.75">
      <c r="A26" s="87" t="s">
        <v>107</v>
      </c>
      <c r="B26" s="89" t="s">
        <v>165</v>
      </c>
      <c r="C26" s="5">
        <v>89</v>
      </c>
      <c r="D26" s="1" t="s">
        <v>60</v>
      </c>
      <c r="E26" s="25">
        <f>+'з.пл. за 1 мин. '!H13</f>
        <v>235.4</v>
      </c>
      <c r="F26" s="25">
        <f>+C26*E26</f>
        <v>20950.600000000002</v>
      </c>
      <c r="G26" s="27"/>
    </row>
    <row r="27" spans="1:7" s="3" customFormat="1" ht="42.75">
      <c r="A27" s="87" t="s">
        <v>108</v>
      </c>
      <c r="B27" s="89" t="s">
        <v>164</v>
      </c>
      <c r="C27" s="5">
        <v>2</v>
      </c>
      <c r="D27" s="1" t="s">
        <v>60</v>
      </c>
      <c r="E27" s="25">
        <f>+'з.пл. за 1 мин. '!H13</f>
        <v>235.4</v>
      </c>
      <c r="F27" s="25">
        <f>+C27*E27</f>
        <v>470.8</v>
      </c>
      <c r="G27" s="100"/>
    </row>
    <row r="28" spans="1:7" s="3" customFormat="1" ht="42.75">
      <c r="A28" s="87" t="s">
        <v>109</v>
      </c>
      <c r="B28" s="89" t="s">
        <v>167</v>
      </c>
      <c r="C28" s="5">
        <v>11</v>
      </c>
      <c r="D28" s="1" t="s">
        <v>60</v>
      </c>
      <c r="E28" s="25">
        <f>+'з.пл. за 1 мин. '!H13</f>
        <v>235.4</v>
      </c>
      <c r="F28" s="25">
        <f>+C28*E28</f>
        <v>2589.4</v>
      </c>
      <c r="G28" s="27"/>
    </row>
    <row r="29" spans="1:7" s="3" customFormat="1" ht="45.75" customHeight="1">
      <c r="A29" s="87" t="s">
        <v>110</v>
      </c>
      <c r="B29" s="89" t="s">
        <v>163</v>
      </c>
      <c r="C29" s="5">
        <v>372</v>
      </c>
      <c r="D29" s="1" t="s">
        <v>60</v>
      </c>
      <c r="E29" s="25">
        <f>+'з.пл. за 1 мин. '!H13</f>
        <v>235.4</v>
      </c>
      <c r="F29" s="25">
        <f>+C29*E29</f>
        <v>87568.8</v>
      </c>
      <c r="G29" s="100"/>
    </row>
    <row r="30" spans="1:7" s="3" customFormat="1" ht="42.75">
      <c r="A30" s="87" t="s">
        <v>111</v>
      </c>
      <c r="B30" s="89" t="s">
        <v>112</v>
      </c>
      <c r="C30" s="5">
        <v>111</v>
      </c>
      <c r="D30" s="1" t="s">
        <v>60</v>
      </c>
      <c r="E30" s="25">
        <f>+'з.пл. за 1 мин. '!H13</f>
        <v>235.4</v>
      </c>
      <c r="F30" s="25">
        <f>+C30*E30</f>
        <v>26129.4</v>
      </c>
      <c r="G30" s="27"/>
    </row>
    <row r="31" spans="1:7" s="3" customFormat="1">
      <c r="A31" s="51"/>
      <c r="B31" s="14"/>
      <c r="C31" s="10"/>
      <c r="D31" s="10"/>
      <c r="E31" s="10"/>
      <c r="F31" s="10"/>
      <c r="G31" s="100"/>
    </row>
    <row r="32" spans="1:7" s="3" customFormat="1">
      <c r="A32" s="10"/>
      <c r="B32" s="14"/>
      <c r="C32" s="10"/>
      <c r="D32" s="10"/>
      <c r="E32" s="10"/>
      <c r="F32" s="10"/>
      <c r="G32" s="100"/>
    </row>
    <row r="33" spans="1:7" s="3" customFormat="1">
      <c r="A33" s="10"/>
      <c r="B33" s="14" t="s">
        <v>113</v>
      </c>
      <c r="C33" s="10"/>
      <c r="D33" s="10"/>
      <c r="E33" s="10" t="s">
        <v>250</v>
      </c>
      <c r="F33" s="10"/>
      <c r="G33" s="27"/>
    </row>
    <row r="34" spans="1:7" s="3" customFormat="1">
      <c r="A34" s="10"/>
      <c r="B34" s="14"/>
      <c r="C34" s="10"/>
      <c r="D34" s="10"/>
      <c r="E34" s="10"/>
      <c r="F34" s="10"/>
      <c r="G34" s="100"/>
    </row>
    <row r="35" spans="1:7" s="3" customFormat="1">
      <c r="A35" s="10"/>
      <c r="B35" s="14"/>
      <c r="C35" s="10"/>
      <c r="D35" s="10"/>
      <c r="E35" s="10"/>
      <c r="F35" s="10"/>
      <c r="G35" s="27"/>
    </row>
    <row r="36" spans="1:7" s="3" customFormat="1">
      <c r="A36" s="10"/>
      <c r="B36" s="14"/>
      <c r="C36" s="10"/>
      <c r="D36" s="10"/>
      <c r="E36" s="10"/>
      <c r="F36" s="10"/>
      <c r="G36" s="100"/>
    </row>
    <row r="37" spans="1:7" s="3" customFormat="1">
      <c r="A37" s="10"/>
      <c r="B37" s="14"/>
      <c r="C37" s="10"/>
      <c r="D37" s="10"/>
      <c r="E37" s="10"/>
      <c r="F37" s="10"/>
      <c r="G37" s="27"/>
    </row>
    <row r="38" spans="1:7" s="3" customFormat="1">
      <c r="A38" s="10"/>
      <c r="B38" s="14"/>
      <c r="C38" s="10"/>
      <c r="D38" s="10"/>
      <c r="E38" s="10"/>
      <c r="F38" s="10"/>
      <c r="G38" s="100"/>
    </row>
    <row r="39" spans="1:7" s="3" customFormat="1">
      <c r="A39" s="10"/>
      <c r="B39" s="14"/>
      <c r="C39" s="10"/>
      <c r="D39" s="10"/>
      <c r="E39" s="10"/>
      <c r="F39" s="10"/>
      <c r="G39" s="27"/>
    </row>
    <row r="40" spans="1:7" s="3" customFormat="1">
      <c r="A40" s="10"/>
      <c r="B40" s="14"/>
      <c r="C40" s="10"/>
      <c r="D40" s="10"/>
      <c r="E40" s="10"/>
      <c r="F40" s="10"/>
      <c r="G40" s="100"/>
    </row>
    <row r="41" spans="1:7" s="3" customFormat="1">
      <c r="A41" s="10"/>
      <c r="B41" s="14"/>
      <c r="C41" s="10"/>
      <c r="D41" s="10"/>
      <c r="E41" s="10"/>
      <c r="F41" s="10"/>
      <c r="G41" s="27"/>
    </row>
    <row r="42" spans="1:7" s="3" customFormat="1">
      <c r="A42" s="10"/>
      <c r="B42" s="14"/>
      <c r="C42" s="10"/>
      <c r="D42" s="10"/>
      <c r="E42" s="10"/>
      <c r="F42" s="10"/>
      <c r="G42" s="100"/>
    </row>
    <row r="43" spans="1:7" s="3" customFormat="1">
      <c r="A43" s="10"/>
      <c r="B43" s="14"/>
      <c r="C43" s="10"/>
      <c r="D43" s="10"/>
      <c r="E43" s="10"/>
      <c r="F43" s="10"/>
      <c r="G43" s="27"/>
    </row>
    <row r="44" spans="1:7" s="3" customFormat="1">
      <c r="A44" s="10"/>
      <c r="B44" s="14"/>
      <c r="C44" s="10"/>
      <c r="D44" s="10"/>
      <c r="E44" s="10"/>
      <c r="F44" s="10"/>
      <c r="G44" s="100"/>
    </row>
    <row r="45" spans="1:7" s="3" customFormat="1">
      <c r="A45" s="10"/>
      <c r="B45" s="14"/>
      <c r="C45" s="10"/>
      <c r="D45" s="10"/>
      <c r="E45" s="10"/>
      <c r="F45" s="10"/>
    </row>
    <row r="46" spans="1:7" s="3" customFormat="1">
      <c r="A46" s="10"/>
      <c r="B46" s="14"/>
      <c r="C46" s="10"/>
      <c r="D46" s="10"/>
      <c r="E46" s="10"/>
      <c r="F46" s="10"/>
    </row>
    <row r="47" spans="1:7" s="3" customFormat="1">
      <c r="A47" s="10"/>
      <c r="B47" s="14"/>
      <c r="C47" s="10"/>
      <c r="D47" s="10"/>
      <c r="E47" s="10"/>
      <c r="F47" s="10"/>
    </row>
    <row r="48" spans="1:7" s="3" customFormat="1">
      <c r="A48" s="10"/>
      <c r="B48" s="14"/>
      <c r="C48" s="10"/>
      <c r="D48" s="10"/>
      <c r="E48" s="10"/>
      <c r="F48" s="10"/>
    </row>
    <row r="49" spans="1:6" s="3" customFormat="1">
      <c r="A49" s="10"/>
      <c r="B49" s="14"/>
      <c r="C49" s="10"/>
      <c r="D49" s="10"/>
      <c r="E49" s="10"/>
      <c r="F49" s="10"/>
    </row>
    <row r="50" spans="1:6" s="3" customFormat="1">
      <c r="A50" s="10"/>
      <c r="B50" s="14"/>
      <c r="C50" s="10"/>
      <c r="D50" s="10"/>
      <c r="E50" s="10"/>
      <c r="F50" s="10"/>
    </row>
    <row r="51" spans="1:6" s="3" customFormat="1">
      <c r="A51" s="10"/>
      <c r="B51" s="14"/>
      <c r="C51" s="10"/>
      <c r="D51" s="10"/>
      <c r="E51" s="10"/>
      <c r="F51" s="10"/>
    </row>
    <row r="52" spans="1:6">
      <c r="A52" s="8"/>
      <c r="F52" s="9"/>
    </row>
    <row r="53" spans="1:6" ht="25.5" customHeight="1">
      <c r="A53" s="8"/>
      <c r="F53" s="3"/>
    </row>
  </sheetData>
  <mergeCells count="9">
    <mergeCell ref="B2:F2"/>
    <mergeCell ref="B9:F9"/>
    <mergeCell ref="B13:F13"/>
    <mergeCell ref="B17:F17"/>
    <mergeCell ref="B21:F21"/>
    <mergeCell ref="A3:F3"/>
    <mergeCell ref="A4:F4"/>
    <mergeCell ref="A5:F5"/>
    <mergeCell ref="A6:F6"/>
  </mergeCells>
  <phoneticPr fontId="0" type="noConversion"/>
  <pageMargins left="0.78740157480314965" right="0.78740157480314965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G51"/>
  <sheetViews>
    <sheetView topLeftCell="A10" workbookViewId="0">
      <selection activeCell="H11" sqref="H11"/>
    </sheetView>
  </sheetViews>
  <sheetFormatPr defaultRowHeight="15.75"/>
  <cols>
    <col min="1" max="1" width="6.140625" style="3" customWidth="1"/>
    <col min="2" max="2" width="28" style="4" customWidth="1"/>
    <col min="3" max="3" width="10.140625" style="2" customWidth="1"/>
    <col min="4" max="4" width="17.140625" style="2" customWidth="1"/>
    <col min="5" max="5" width="20.28515625" style="2" customWidth="1"/>
    <col min="6" max="6" width="13.5703125" style="2" customWidth="1"/>
    <col min="7" max="16384" width="9.140625" style="2"/>
  </cols>
  <sheetData>
    <row r="1" spans="1:7">
      <c r="C1" s="73"/>
      <c r="D1"/>
      <c r="E1"/>
      <c r="F1"/>
      <c r="G1"/>
    </row>
    <row r="2" spans="1:7">
      <c r="C2" s="73"/>
      <c r="D2"/>
      <c r="E2"/>
      <c r="F2"/>
      <c r="G2"/>
    </row>
    <row r="3" spans="1:7">
      <c r="C3" s="73"/>
      <c r="D3"/>
      <c r="E3"/>
      <c r="F3"/>
      <c r="G3"/>
    </row>
    <row r="4" spans="1:7">
      <c r="C4" s="73"/>
      <c r="D4"/>
      <c r="E4"/>
      <c r="F4"/>
      <c r="G4"/>
    </row>
    <row r="5" spans="1:7">
      <c r="B5" s="349" t="s">
        <v>251</v>
      </c>
      <c r="C5" s="350"/>
      <c r="D5" s="350"/>
      <c r="E5" s="350"/>
      <c r="F5" s="350"/>
      <c r="G5"/>
    </row>
    <row r="6" spans="1:7" s="11" customFormat="1" ht="33.75" customHeight="1">
      <c r="A6" s="326" t="s">
        <v>8</v>
      </c>
      <c r="B6" s="326"/>
      <c r="C6" s="326"/>
      <c r="D6" s="326"/>
      <c r="E6" s="326"/>
      <c r="F6" s="326"/>
    </row>
    <row r="7" spans="1:7" s="11" customFormat="1" ht="26.25" customHeight="1">
      <c r="A7" s="327" t="s">
        <v>15</v>
      </c>
      <c r="B7" s="327"/>
      <c r="C7" s="327"/>
      <c r="D7" s="327"/>
      <c r="E7" s="327"/>
      <c r="F7" s="327"/>
    </row>
    <row r="8" spans="1:7" s="11" customFormat="1" ht="26.25" customHeight="1">
      <c r="A8" s="327" t="s">
        <v>84</v>
      </c>
      <c r="B8" s="327"/>
      <c r="C8" s="327"/>
      <c r="D8" s="327"/>
      <c r="E8" s="327"/>
      <c r="F8" s="327"/>
      <c r="G8" s="21"/>
    </row>
    <row r="9" spans="1:7" ht="29.25" customHeight="1">
      <c r="A9" s="344" t="s">
        <v>83</v>
      </c>
      <c r="B9" s="344"/>
      <c r="C9" s="344"/>
      <c r="D9" s="344"/>
      <c r="E9" s="344"/>
      <c r="F9" s="344"/>
      <c r="G9" s="22"/>
    </row>
    <row r="10" spans="1:7" ht="104.25" customHeight="1">
      <c r="A10" s="12" t="s">
        <v>0</v>
      </c>
      <c r="B10" s="12" t="s">
        <v>16</v>
      </c>
      <c r="C10" s="12" t="s">
        <v>17</v>
      </c>
      <c r="D10" s="7" t="s">
        <v>10</v>
      </c>
      <c r="E10" s="15" t="s">
        <v>18</v>
      </c>
      <c r="F10" s="15" t="s">
        <v>19</v>
      </c>
      <c r="G10" s="29"/>
    </row>
    <row r="11" spans="1:7" s="3" customFormat="1">
      <c r="A11" s="5">
        <v>1</v>
      </c>
      <c r="B11" s="1">
        <v>2</v>
      </c>
      <c r="C11" s="5">
        <v>3</v>
      </c>
      <c r="D11" s="5">
        <v>4</v>
      </c>
      <c r="E11" s="5">
        <v>5</v>
      </c>
      <c r="F11" s="5">
        <v>6</v>
      </c>
      <c r="G11" s="27"/>
    </row>
    <row r="12" spans="1:7" s="3" customFormat="1" ht="23.25" customHeight="1">
      <c r="A12" s="102" t="s">
        <v>56</v>
      </c>
      <c r="B12" s="351" t="s">
        <v>57</v>
      </c>
      <c r="C12" s="352"/>
      <c r="D12" s="352"/>
      <c r="E12" s="352"/>
      <c r="F12" s="353"/>
      <c r="G12" s="100"/>
    </row>
    <row r="13" spans="1:7" s="3" customFormat="1">
      <c r="A13" s="85" t="s">
        <v>58</v>
      </c>
      <c r="B13" s="84" t="s">
        <v>59</v>
      </c>
      <c r="C13" s="79">
        <v>17</v>
      </c>
      <c r="D13" s="1" t="s">
        <v>60</v>
      </c>
      <c r="E13" s="25">
        <f>+'з.пл. за 1 мин. '!H13</f>
        <v>235.4</v>
      </c>
      <c r="F13" s="25">
        <f t="shared" ref="F13:F22" si="0">+C13*E13</f>
        <v>4001.8</v>
      </c>
      <c r="G13" s="100"/>
    </row>
    <row r="14" spans="1:7" s="3" customFormat="1">
      <c r="A14" s="86" t="s">
        <v>61</v>
      </c>
      <c r="B14" s="84" t="s">
        <v>62</v>
      </c>
      <c r="C14" s="79">
        <v>10</v>
      </c>
      <c r="D14" s="1" t="s">
        <v>60</v>
      </c>
      <c r="E14" s="25">
        <f>+'з.пл. за 1 мин. '!H13</f>
        <v>235.4</v>
      </c>
      <c r="F14" s="25">
        <f t="shared" si="0"/>
        <v>2354</v>
      </c>
      <c r="G14" s="100"/>
    </row>
    <row r="15" spans="1:7" s="3" customFormat="1">
      <c r="A15" s="86" t="s">
        <v>63</v>
      </c>
      <c r="B15" s="84" t="s">
        <v>64</v>
      </c>
      <c r="C15" s="79">
        <v>6</v>
      </c>
      <c r="D15" s="1" t="s">
        <v>60</v>
      </c>
      <c r="E15" s="25">
        <f>+'з.пл. за 1 мин. '!H13</f>
        <v>235.4</v>
      </c>
      <c r="F15" s="25">
        <f t="shared" si="0"/>
        <v>1412.4</v>
      </c>
      <c r="G15" s="100"/>
    </row>
    <row r="16" spans="1:7" s="3" customFormat="1">
      <c r="A16" s="78" t="s">
        <v>66</v>
      </c>
      <c r="B16" s="354" t="s">
        <v>67</v>
      </c>
      <c r="C16" s="342"/>
      <c r="D16" s="342"/>
      <c r="E16" s="342"/>
      <c r="F16" s="343"/>
      <c r="G16" s="100"/>
    </row>
    <row r="17" spans="1:7" s="3" customFormat="1">
      <c r="A17" s="177" t="s">
        <v>69</v>
      </c>
      <c r="B17" s="84" t="s">
        <v>59</v>
      </c>
      <c r="C17" s="5">
        <v>147</v>
      </c>
      <c r="D17" s="1" t="s">
        <v>60</v>
      </c>
      <c r="E17" s="25">
        <f>+'з.пл. за 1 мин. '!H13</f>
        <v>235.4</v>
      </c>
      <c r="F17" s="25">
        <f t="shared" si="0"/>
        <v>34603.800000000003</v>
      </c>
      <c r="G17" s="27"/>
    </row>
    <row r="18" spans="1:7" s="3" customFormat="1">
      <c r="A18" s="177" t="s">
        <v>70</v>
      </c>
      <c r="B18" s="84" t="s">
        <v>62</v>
      </c>
      <c r="C18" s="5">
        <v>49</v>
      </c>
      <c r="D18" s="1" t="s">
        <v>60</v>
      </c>
      <c r="E18" s="25">
        <f>+'з.пл. за 1 мин. '!H13</f>
        <v>235.4</v>
      </c>
      <c r="F18" s="25">
        <f t="shared" si="0"/>
        <v>11534.6</v>
      </c>
      <c r="G18" s="100"/>
    </row>
    <row r="19" spans="1:7" s="3" customFormat="1">
      <c r="A19" s="177" t="s">
        <v>71</v>
      </c>
      <c r="B19" s="84" t="s">
        <v>64</v>
      </c>
      <c r="C19" s="5">
        <v>27</v>
      </c>
      <c r="D19" s="1" t="s">
        <v>60</v>
      </c>
      <c r="E19" s="25">
        <f>+'з.пл. за 1 мин. '!H13</f>
        <v>235.4</v>
      </c>
      <c r="F19" s="25">
        <f t="shared" si="0"/>
        <v>6355.8</v>
      </c>
      <c r="G19" s="27"/>
    </row>
    <row r="20" spans="1:7" s="3" customFormat="1" ht="25.5">
      <c r="A20" s="78" t="s">
        <v>72</v>
      </c>
      <c r="B20" s="83" t="s">
        <v>73</v>
      </c>
      <c r="C20" s="5">
        <v>55</v>
      </c>
      <c r="D20" s="1" t="s">
        <v>60</v>
      </c>
      <c r="E20" s="25">
        <f>+'з.пл. за 1 мин. '!H13</f>
        <v>235.4</v>
      </c>
      <c r="F20" s="25">
        <f t="shared" si="0"/>
        <v>12947</v>
      </c>
      <c r="G20" s="100"/>
    </row>
    <row r="21" spans="1:7" s="3" customFormat="1" ht="38.25">
      <c r="A21" s="78" t="s">
        <v>77</v>
      </c>
      <c r="B21" s="83" t="s">
        <v>78</v>
      </c>
      <c r="C21" s="5">
        <v>58</v>
      </c>
      <c r="D21" s="1" t="s">
        <v>60</v>
      </c>
      <c r="E21" s="25">
        <f>+'з.пл. за 1 мин. '!H13</f>
        <v>235.4</v>
      </c>
      <c r="F21" s="25">
        <f t="shared" si="0"/>
        <v>13653.2</v>
      </c>
      <c r="G21" s="27"/>
    </row>
    <row r="22" spans="1:7" s="3" customFormat="1" ht="38.25">
      <c r="A22" s="87" t="s">
        <v>82</v>
      </c>
      <c r="B22" s="81" t="s">
        <v>79</v>
      </c>
      <c r="C22" s="5">
        <v>11</v>
      </c>
      <c r="D22" s="82" t="s">
        <v>81</v>
      </c>
      <c r="E22" s="25">
        <f>+'з.пл. за 1 мин. '!H14</f>
        <v>331.6</v>
      </c>
      <c r="F22" s="25">
        <f t="shared" si="0"/>
        <v>3647.6000000000004</v>
      </c>
      <c r="G22" s="100"/>
    </row>
    <row r="23" spans="1:7" s="3" customFormat="1">
      <c r="A23" s="51"/>
      <c r="B23" s="14"/>
      <c r="C23" s="10"/>
      <c r="D23" s="10"/>
      <c r="E23" s="10"/>
      <c r="F23" s="10"/>
      <c r="G23" s="27"/>
    </row>
    <row r="24" spans="1:7" s="3" customFormat="1">
      <c r="A24" s="51"/>
      <c r="B24" s="14"/>
      <c r="C24" s="10"/>
      <c r="D24" s="10"/>
      <c r="E24" s="10"/>
      <c r="F24" s="10"/>
      <c r="G24" s="100"/>
    </row>
    <row r="25" spans="1:7" s="3" customFormat="1">
      <c r="A25" s="51"/>
      <c r="B25" s="14"/>
      <c r="C25" s="10"/>
      <c r="D25" s="10"/>
      <c r="E25" s="10"/>
      <c r="F25" s="10"/>
      <c r="G25" s="27"/>
    </row>
    <row r="26" spans="1:7" s="3" customFormat="1">
      <c r="A26" s="51"/>
      <c r="B26" s="105" t="s">
        <v>6</v>
      </c>
      <c r="C26" s="10"/>
      <c r="D26" s="10"/>
      <c r="E26" s="97" t="s">
        <v>250</v>
      </c>
      <c r="F26" s="10"/>
      <c r="G26" s="100"/>
    </row>
    <row r="27" spans="1:7" s="3" customFormat="1">
      <c r="A27" s="51"/>
      <c r="B27" s="14"/>
      <c r="C27" s="10"/>
      <c r="D27" s="10"/>
      <c r="E27" s="10"/>
      <c r="F27" s="10"/>
      <c r="G27" s="27"/>
    </row>
    <row r="28" spans="1:7" s="3" customFormat="1">
      <c r="A28" s="51"/>
      <c r="B28" s="14"/>
      <c r="C28" s="10"/>
      <c r="D28" s="10"/>
      <c r="E28" s="10"/>
      <c r="F28" s="10"/>
      <c r="G28" s="100"/>
    </row>
    <row r="29" spans="1:7" s="3" customFormat="1">
      <c r="A29" s="10"/>
      <c r="B29" s="14"/>
      <c r="C29" s="10"/>
      <c r="D29" s="10"/>
      <c r="E29" s="10"/>
      <c r="F29" s="10"/>
      <c r="G29" s="27"/>
    </row>
    <row r="30" spans="1:7" s="3" customFormat="1">
      <c r="A30" s="10"/>
      <c r="B30" s="14"/>
      <c r="C30" s="10"/>
      <c r="D30" s="10"/>
      <c r="E30" s="10"/>
      <c r="F30" s="10"/>
      <c r="G30" s="100"/>
    </row>
    <row r="31" spans="1:7" s="3" customFormat="1">
      <c r="A31" s="10"/>
      <c r="B31" s="14"/>
      <c r="C31" s="10"/>
      <c r="D31" s="10"/>
      <c r="E31" s="10"/>
      <c r="F31" s="10"/>
      <c r="G31" s="27"/>
    </row>
    <row r="32" spans="1:7" s="3" customFormat="1">
      <c r="A32" s="10"/>
      <c r="B32" s="14"/>
      <c r="C32" s="10"/>
      <c r="D32" s="10"/>
      <c r="E32" s="10"/>
      <c r="F32" s="10"/>
      <c r="G32" s="100"/>
    </row>
    <row r="33" spans="1:7" s="3" customFormat="1">
      <c r="A33" s="10"/>
      <c r="B33" s="14"/>
      <c r="C33" s="10"/>
      <c r="D33" s="10"/>
      <c r="E33" s="10"/>
      <c r="F33" s="10"/>
      <c r="G33" s="27"/>
    </row>
    <row r="34" spans="1:7" s="3" customFormat="1">
      <c r="A34" s="10"/>
      <c r="B34" s="14"/>
      <c r="C34" s="10"/>
      <c r="D34" s="10"/>
      <c r="E34" s="10"/>
      <c r="F34" s="10"/>
      <c r="G34" s="100"/>
    </row>
    <row r="35" spans="1:7" s="3" customFormat="1">
      <c r="A35" s="10"/>
      <c r="B35" s="14"/>
      <c r="C35" s="10"/>
      <c r="D35" s="10"/>
      <c r="E35" s="10"/>
      <c r="F35" s="10"/>
      <c r="G35" s="27"/>
    </row>
    <row r="36" spans="1:7" s="3" customFormat="1">
      <c r="A36" s="10"/>
      <c r="B36" s="14"/>
      <c r="C36" s="10"/>
      <c r="D36" s="10"/>
      <c r="E36" s="10"/>
      <c r="F36" s="10"/>
      <c r="G36" s="100"/>
    </row>
    <row r="37" spans="1:7" s="3" customFormat="1">
      <c r="A37" s="10"/>
      <c r="B37" s="14"/>
      <c r="C37" s="10"/>
      <c r="D37" s="10"/>
      <c r="E37" s="10"/>
      <c r="F37" s="10"/>
      <c r="G37" s="27"/>
    </row>
    <row r="38" spans="1:7" s="3" customFormat="1">
      <c r="A38" s="10"/>
      <c r="B38" s="14"/>
      <c r="C38" s="10"/>
      <c r="D38" s="10"/>
      <c r="E38" s="10"/>
      <c r="F38" s="10"/>
      <c r="G38" s="100"/>
    </row>
    <row r="39" spans="1:7" s="3" customFormat="1">
      <c r="A39" s="10"/>
      <c r="B39" s="14"/>
      <c r="C39" s="10"/>
      <c r="D39" s="10"/>
      <c r="E39" s="10"/>
      <c r="F39" s="10"/>
      <c r="G39" s="27"/>
    </row>
    <row r="40" spans="1:7" s="3" customFormat="1">
      <c r="A40" s="10"/>
      <c r="B40" s="14"/>
      <c r="C40" s="10"/>
      <c r="D40" s="10"/>
      <c r="E40" s="10"/>
      <c r="F40" s="10"/>
      <c r="G40" s="100"/>
    </row>
    <row r="41" spans="1:7" s="3" customFormat="1">
      <c r="A41" s="10"/>
      <c r="B41" s="14"/>
      <c r="C41" s="10"/>
      <c r="D41" s="10"/>
      <c r="E41" s="10"/>
      <c r="F41" s="10"/>
      <c r="G41" s="27"/>
    </row>
    <row r="42" spans="1:7" s="3" customFormat="1">
      <c r="A42" s="10"/>
      <c r="B42" s="14"/>
      <c r="C42" s="10"/>
      <c r="D42" s="10"/>
      <c r="E42" s="10"/>
      <c r="F42" s="10"/>
      <c r="G42" s="100"/>
    </row>
    <row r="43" spans="1:7" s="3" customFormat="1">
      <c r="A43" s="10"/>
      <c r="B43" s="14"/>
      <c r="C43" s="10"/>
      <c r="D43" s="10"/>
      <c r="E43" s="10"/>
      <c r="F43" s="10"/>
    </row>
    <row r="44" spans="1:7" s="3" customFormat="1">
      <c r="A44" s="10"/>
      <c r="B44" s="14"/>
      <c r="C44" s="10"/>
      <c r="D44" s="10"/>
      <c r="E44" s="10"/>
      <c r="F44" s="10"/>
    </row>
    <row r="45" spans="1:7" s="3" customFormat="1">
      <c r="A45" s="10"/>
      <c r="B45" s="14"/>
      <c r="C45" s="10"/>
      <c r="D45" s="10"/>
      <c r="E45" s="10"/>
      <c r="F45" s="10"/>
    </row>
    <row r="46" spans="1:7" s="3" customFormat="1">
      <c r="A46" s="10"/>
      <c r="B46" s="14"/>
      <c r="C46" s="10"/>
      <c r="D46" s="10"/>
      <c r="E46" s="10"/>
      <c r="F46" s="10"/>
    </row>
    <row r="47" spans="1:7" s="3" customFormat="1">
      <c r="A47" s="10"/>
      <c r="B47" s="14"/>
      <c r="C47" s="10"/>
      <c r="D47" s="10"/>
      <c r="E47" s="10"/>
      <c r="F47" s="10"/>
    </row>
    <row r="48" spans="1:7" s="3" customFormat="1">
      <c r="A48" s="10"/>
      <c r="B48" s="14"/>
      <c r="C48" s="10"/>
      <c r="D48" s="10"/>
      <c r="E48" s="10"/>
      <c r="F48" s="10"/>
    </row>
    <row r="49" spans="1:6" s="3" customFormat="1">
      <c r="A49" s="10"/>
      <c r="B49" s="14"/>
      <c r="C49" s="10"/>
      <c r="D49" s="10"/>
      <c r="E49" s="10"/>
      <c r="F49" s="10"/>
    </row>
    <row r="50" spans="1:6">
      <c r="A50" s="8"/>
      <c r="F50" s="9"/>
    </row>
    <row r="51" spans="1:6" ht="25.5" customHeight="1">
      <c r="A51" s="8"/>
      <c r="F51" s="3"/>
    </row>
  </sheetData>
  <mergeCells count="7">
    <mergeCell ref="B5:F5"/>
    <mergeCell ref="B12:F12"/>
    <mergeCell ref="B16:F16"/>
    <mergeCell ref="A6:F6"/>
    <mergeCell ref="A7:F7"/>
    <mergeCell ref="A8:F8"/>
    <mergeCell ref="A9:F9"/>
  </mergeCells>
  <phoneticPr fontId="0" type="noConversion"/>
  <pageMargins left="0.38" right="0.27" top="1" bottom="1" header="0.5" footer="0.5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2:AP40"/>
  <sheetViews>
    <sheetView topLeftCell="A22" workbookViewId="0">
      <selection activeCell="Q19" sqref="Q19"/>
    </sheetView>
  </sheetViews>
  <sheetFormatPr defaultRowHeight="12.75"/>
  <cols>
    <col min="1" max="1" width="4.85546875" style="26" customWidth="1"/>
    <col min="2" max="2" width="16.140625" customWidth="1"/>
    <col min="3" max="3" width="6.42578125" style="41" customWidth="1"/>
    <col min="4" max="4" width="8" customWidth="1"/>
    <col min="5" max="6" width="7.28515625" customWidth="1"/>
    <col min="7" max="7" width="8.85546875" customWidth="1"/>
    <col min="8" max="8" width="7.7109375" customWidth="1"/>
    <col min="9" max="9" width="7.85546875" customWidth="1"/>
    <col min="10" max="10" width="9" customWidth="1"/>
    <col min="11" max="11" width="3.7109375" customWidth="1"/>
    <col min="12" max="12" width="8.85546875" customWidth="1"/>
    <col min="13" max="13" width="7.42578125" customWidth="1"/>
    <col min="14" max="14" width="7.85546875" customWidth="1"/>
    <col min="15" max="15" width="4.5703125" customWidth="1"/>
    <col min="16" max="16" width="7" customWidth="1"/>
    <col min="17" max="18" width="7.42578125" customWidth="1"/>
    <col min="19" max="19" width="9.140625" style="64"/>
    <col min="20" max="20" width="14.85546875" style="64" customWidth="1"/>
    <col min="21" max="24" width="9.140625" style="64"/>
  </cols>
  <sheetData>
    <row r="2" spans="1:24">
      <c r="H2" s="73" t="s">
        <v>7</v>
      </c>
    </row>
    <row r="3" spans="1:24">
      <c r="H3" s="73" t="s">
        <v>170</v>
      </c>
    </row>
    <row r="4" spans="1:24">
      <c r="H4" s="73" t="s">
        <v>251</v>
      </c>
    </row>
    <row r="5" spans="1:24">
      <c r="H5" s="73" t="s">
        <v>256</v>
      </c>
    </row>
    <row r="6" spans="1:24">
      <c r="H6" s="73" t="s">
        <v>374</v>
      </c>
    </row>
    <row r="7" spans="1:24" ht="25.5" customHeight="1">
      <c r="A7" s="325" t="s">
        <v>54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</row>
    <row r="8" spans="1:24" ht="13.5" customHeight="1">
      <c r="B8" s="355" t="s">
        <v>161</v>
      </c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</row>
    <row r="9" spans="1:24" ht="22.5" customHeight="1"/>
    <row r="10" spans="1:24" ht="14.25" customHeight="1">
      <c r="E10" s="175">
        <f>'Расчет доп. ФОТ '!C7</f>
        <v>9.1999999999999993</v>
      </c>
      <c r="I10" s="176">
        <f>' накл. расходы  '!C37</f>
        <v>91.6</v>
      </c>
    </row>
    <row r="11" spans="1:24" s="49" customFormat="1" ht="162.75" customHeight="1">
      <c r="A11" s="48" t="s">
        <v>0</v>
      </c>
      <c r="B11" s="50" t="s">
        <v>45</v>
      </c>
      <c r="C11" s="47" t="s">
        <v>20</v>
      </c>
      <c r="D11" s="48" t="s">
        <v>53</v>
      </c>
      <c r="E11" s="48" t="s">
        <v>51</v>
      </c>
      <c r="F11" s="48" t="s">
        <v>52</v>
      </c>
      <c r="G11" s="61" t="s">
        <v>377</v>
      </c>
      <c r="H11" s="62" t="s">
        <v>376</v>
      </c>
      <c r="I11" s="47" t="s">
        <v>46</v>
      </c>
      <c r="J11" s="48" t="s">
        <v>2</v>
      </c>
      <c r="K11" s="47" t="s">
        <v>3</v>
      </c>
      <c r="L11" s="48" t="s">
        <v>4</v>
      </c>
      <c r="M11" s="61" t="s">
        <v>174</v>
      </c>
      <c r="N11" s="48" t="s">
        <v>47</v>
      </c>
      <c r="O11" s="48" t="s">
        <v>48</v>
      </c>
      <c r="P11" s="48" t="s">
        <v>49</v>
      </c>
      <c r="Q11" s="48" t="s">
        <v>50</v>
      </c>
      <c r="R11" s="48" t="s">
        <v>5</v>
      </c>
      <c r="S11" s="65"/>
      <c r="T11" s="357"/>
      <c r="U11" s="358"/>
      <c r="V11" s="358"/>
      <c r="W11" s="358"/>
      <c r="X11" s="65"/>
    </row>
    <row r="12" spans="1:24" s="49" customFormat="1" ht="17.25" customHeight="1">
      <c r="A12" s="74" t="s">
        <v>117</v>
      </c>
      <c r="B12" s="360" t="s">
        <v>118</v>
      </c>
      <c r="C12" s="361"/>
      <c r="D12" s="361"/>
      <c r="E12" s="361"/>
      <c r="F12" s="361"/>
      <c r="G12" s="361"/>
      <c r="H12" s="361"/>
      <c r="I12" s="361"/>
      <c r="J12" s="362"/>
      <c r="K12" s="362"/>
      <c r="L12" s="362"/>
      <c r="M12" s="362"/>
      <c r="N12" s="362"/>
      <c r="O12" s="362"/>
      <c r="P12" s="362"/>
      <c r="Q12" s="362"/>
      <c r="R12" s="363"/>
      <c r="S12" s="65"/>
      <c r="T12" s="70"/>
      <c r="U12" s="71"/>
      <c r="V12" s="71"/>
      <c r="W12" s="71"/>
      <c r="X12" s="65"/>
    </row>
    <row r="13" spans="1:24" s="16" customFormat="1" ht="37.5" customHeight="1">
      <c r="A13" s="177" t="s">
        <v>119</v>
      </c>
      <c r="B13" s="75" t="s">
        <v>120</v>
      </c>
      <c r="C13" s="115" t="s">
        <v>74</v>
      </c>
      <c r="D13" s="44">
        <f>'3.1 зпл.дезинф.'!F10</f>
        <v>9886.8000000000011</v>
      </c>
      <c r="E13" s="44">
        <f>ROUND(D13*$E$10/100,1)</f>
        <v>909.6</v>
      </c>
      <c r="F13" s="44">
        <f>+G13+H13</f>
        <v>3679.4</v>
      </c>
      <c r="G13" s="44">
        <f>+ROUND((D13+E13)*34%,1)</f>
        <v>3670.8</v>
      </c>
      <c r="H13" s="44">
        <f>+ROUND((D13+E13)*0.08%,1)</f>
        <v>8.6</v>
      </c>
      <c r="I13" s="44">
        <f>+ROUND(D13*$I$10/100,1)</f>
        <v>9056.2999999999993</v>
      </c>
      <c r="J13" s="44">
        <f>+D13+E13+F13+I13</f>
        <v>23532.1</v>
      </c>
      <c r="K13" s="45">
        <v>30</v>
      </c>
      <c r="L13" s="44">
        <f>+J13*K13/100+J13</f>
        <v>30591.73</v>
      </c>
      <c r="M13" s="44">
        <f>+L13*3/97</f>
        <v>946.13597938144335</v>
      </c>
      <c r="N13" s="45">
        <f>+L13+M13</f>
        <v>31537.865979381444</v>
      </c>
      <c r="O13" s="45">
        <v>20</v>
      </c>
      <c r="P13" s="45">
        <f>ROUND(+N13*O13/100,0)</f>
        <v>6308</v>
      </c>
      <c r="Q13" s="45">
        <f>+N13+P13</f>
        <v>37845.865979381444</v>
      </c>
      <c r="R13" s="45">
        <f>+ROUND(Q13,-1)</f>
        <v>37850</v>
      </c>
      <c r="S13" s="64"/>
      <c r="T13" s="64"/>
      <c r="U13" s="64"/>
      <c r="V13" s="64"/>
      <c r="W13" s="64"/>
      <c r="X13" s="64"/>
    </row>
    <row r="14" spans="1:24" s="16" customFormat="1" ht="16.5" hidden="1" customHeight="1">
      <c r="A14" s="183"/>
      <c r="B14" s="43"/>
      <c r="C14" s="46"/>
      <c r="D14" s="44"/>
      <c r="G14" s="44">
        <f t="shared" ref="G14:G25" si="0">+ROUND((D14+E14)*34%,1)</f>
        <v>0</v>
      </c>
      <c r="H14" s="44">
        <f t="shared" ref="H14:H19" si="1">+ROUND((D14+E14)*0.08%,1)</f>
        <v>0</v>
      </c>
      <c r="I14" s="44">
        <f t="shared" ref="I14:I23" si="2">+ROUND(D14*$I$10/100,1)</f>
        <v>0</v>
      </c>
      <c r="J14" s="44">
        <f t="shared" ref="J14:J23" si="3">+D14+E14+F14+I14</f>
        <v>0</v>
      </c>
      <c r="K14" s="45">
        <v>16</v>
      </c>
      <c r="L14" s="44">
        <f t="shared" ref="L14:L23" si="4">+J14*K14/100+J14</f>
        <v>0</v>
      </c>
      <c r="M14" s="44">
        <f>+L14*0.0204081632653061</f>
        <v>0</v>
      </c>
      <c r="N14" s="45">
        <f t="shared" ref="N14:N23" si="5">+L14+M14</f>
        <v>0</v>
      </c>
      <c r="O14" s="45">
        <v>19</v>
      </c>
      <c r="P14" s="45">
        <f t="shared" ref="P14:P36" si="6">ROUND(+N14*O14/100,0)</f>
        <v>0</v>
      </c>
      <c r="Q14" s="45">
        <f t="shared" ref="Q14:Q23" si="7">+N14+P14</f>
        <v>0</v>
      </c>
      <c r="R14" s="45">
        <f t="shared" ref="R14:R25" si="8">+ROUND(Q14,-1)</f>
        <v>0</v>
      </c>
      <c r="S14" s="64"/>
      <c r="T14" s="64"/>
      <c r="U14" s="64"/>
      <c r="V14" s="64"/>
      <c r="W14" s="64"/>
      <c r="X14" s="64"/>
    </row>
    <row r="15" spans="1:24" s="16" customFormat="1" ht="42.75" customHeight="1">
      <c r="A15" s="177" t="s">
        <v>121</v>
      </c>
      <c r="B15" s="75" t="s">
        <v>122</v>
      </c>
      <c r="C15" s="115" t="s">
        <v>74</v>
      </c>
      <c r="D15" s="44">
        <f>SUM('3.1 зпл.дезинф.'!F11)</f>
        <v>16478</v>
      </c>
      <c r="E15" s="44">
        <f>ROUND(D15*$E$10/100,1)</f>
        <v>1516</v>
      </c>
      <c r="F15" s="16">
        <f>+G15+H15</f>
        <v>6132.4</v>
      </c>
      <c r="G15" s="44">
        <f t="shared" si="0"/>
        <v>6118</v>
      </c>
      <c r="H15" s="44">
        <f t="shared" si="1"/>
        <v>14.4</v>
      </c>
      <c r="I15" s="44">
        <f>+ROUND(D15*$I$10/100,1)</f>
        <v>15093.8</v>
      </c>
      <c r="J15" s="44">
        <f t="shared" si="3"/>
        <v>39220.199999999997</v>
      </c>
      <c r="K15" s="45">
        <v>30</v>
      </c>
      <c r="L15" s="44">
        <f t="shared" si="4"/>
        <v>50986.259999999995</v>
      </c>
      <c r="M15" s="44">
        <f>+L15*3/97</f>
        <v>1576.8946391752575</v>
      </c>
      <c r="N15" s="45">
        <f t="shared" si="5"/>
        <v>52563.154639175249</v>
      </c>
      <c r="O15" s="45">
        <v>20</v>
      </c>
      <c r="P15" s="45">
        <f t="shared" si="6"/>
        <v>10513</v>
      </c>
      <c r="Q15" s="45">
        <f t="shared" si="7"/>
        <v>63076.154639175249</v>
      </c>
      <c r="R15" s="45">
        <f t="shared" si="8"/>
        <v>63080</v>
      </c>
      <c r="S15" s="64"/>
      <c r="T15" s="64"/>
      <c r="U15" s="64"/>
      <c r="V15" s="64"/>
      <c r="W15" s="64"/>
      <c r="X15" s="64"/>
    </row>
    <row r="16" spans="1:24" s="16" customFormat="1" ht="77.25" customHeight="1">
      <c r="A16" s="177" t="s">
        <v>123</v>
      </c>
      <c r="B16" s="75" t="s">
        <v>124</v>
      </c>
      <c r="C16" s="115" t="s">
        <v>74</v>
      </c>
      <c r="D16" s="44">
        <f>SUM('3.1 зпл.дезинф.'!F12)</f>
        <v>19773.600000000002</v>
      </c>
      <c r="E16" s="44">
        <f>ROUND(D16*$E$10/100,1)</f>
        <v>1819.2</v>
      </c>
      <c r="F16" s="16">
        <f>+G16+H16</f>
        <v>7358.9000000000005</v>
      </c>
      <c r="G16" s="44">
        <f t="shared" si="0"/>
        <v>7341.6</v>
      </c>
      <c r="H16" s="44">
        <f t="shared" si="1"/>
        <v>17.3</v>
      </c>
      <c r="I16" s="44">
        <f>+ROUND(D16*$I$10/100,1)</f>
        <v>18112.599999999999</v>
      </c>
      <c r="J16" s="44">
        <f t="shared" si="3"/>
        <v>47064.3</v>
      </c>
      <c r="K16" s="45">
        <v>30</v>
      </c>
      <c r="L16" s="44">
        <f t="shared" si="4"/>
        <v>61183.590000000004</v>
      </c>
      <c r="M16" s="44">
        <f>+L16*3/97</f>
        <v>1892.2759793814434</v>
      </c>
      <c r="N16" s="45">
        <f t="shared" si="5"/>
        <v>63075.865979381444</v>
      </c>
      <c r="O16" s="45">
        <v>20</v>
      </c>
      <c r="P16" s="45">
        <f t="shared" si="6"/>
        <v>12615</v>
      </c>
      <c r="Q16" s="45">
        <f t="shared" si="7"/>
        <v>75690.865979381444</v>
      </c>
      <c r="R16" s="45">
        <f t="shared" si="8"/>
        <v>75690</v>
      </c>
      <c r="S16" s="64"/>
      <c r="T16" s="64"/>
      <c r="U16" s="64"/>
      <c r="V16" s="64"/>
      <c r="W16" s="64"/>
      <c r="X16" s="64"/>
    </row>
    <row r="17" spans="1:42" hidden="1">
      <c r="A17" s="184"/>
      <c r="D17" s="59">
        <f>+'1.1 зпл.дерат.'!G17</f>
        <v>0</v>
      </c>
      <c r="G17" s="44">
        <f t="shared" si="0"/>
        <v>0</v>
      </c>
      <c r="H17" s="44">
        <f t="shared" si="1"/>
        <v>0</v>
      </c>
      <c r="I17" s="59">
        <f t="shared" si="2"/>
        <v>0</v>
      </c>
      <c r="J17" s="59">
        <f t="shared" si="3"/>
        <v>0</v>
      </c>
      <c r="K17" s="60">
        <v>20</v>
      </c>
      <c r="L17" s="57">
        <f t="shared" si="4"/>
        <v>0</v>
      </c>
      <c r="M17" s="57">
        <f>+L17*0.0204081632653061</f>
        <v>0</v>
      </c>
      <c r="N17" s="58">
        <f t="shared" si="5"/>
        <v>0</v>
      </c>
      <c r="O17" s="58">
        <v>23</v>
      </c>
      <c r="P17" s="45">
        <f t="shared" si="6"/>
        <v>0</v>
      </c>
      <c r="Q17" s="58">
        <f t="shared" si="7"/>
        <v>0</v>
      </c>
      <c r="R17" s="58">
        <f t="shared" si="8"/>
        <v>0</v>
      </c>
    </row>
    <row r="18" spans="1:42" ht="78.75">
      <c r="A18" s="177" t="s">
        <v>125</v>
      </c>
      <c r="B18" s="75" t="s">
        <v>126</v>
      </c>
      <c r="C18" s="115" t="s">
        <v>74</v>
      </c>
      <c r="D18" s="44">
        <f>SUM('3.1 зпл.дезинф.'!F13)</f>
        <v>24717</v>
      </c>
      <c r="E18" s="44">
        <f>ROUND(D18*$E$10/100,1)</f>
        <v>2274</v>
      </c>
      <c r="F18" s="16">
        <f>+G18+H18</f>
        <v>9198.5</v>
      </c>
      <c r="G18" s="44">
        <f t="shared" si="0"/>
        <v>9176.9</v>
      </c>
      <c r="H18" s="44">
        <f t="shared" si="1"/>
        <v>21.6</v>
      </c>
      <c r="I18" s="44">
        <f>+ROUND(D18*$I$10/100,1)</f>
        <v>22640.799999999999</v>
      </c>
      <c r="J18" s="44">
        <f>+D18+E18+F18+I18</f>
        <v>58830.3</v>
      </c>
      <c r="K18" s="45">
        <v>30</v>
      </c>
      <c r="L18" s="44">
        <f>+J18*K18/100+J18</f>
        <v>76479.39</v>
      </c>
      <c r="M18" s="44">
        <f>+L18*3/97</f>
        <v>2365.3419587628864</v>
      </c>
      <c r="N18" s="45">
        <f>+L18+M18</f>
        <v>78844.731958762888</v>
      </c>
      <c r="O18" s="45">
        <v>20</v>
      </c>
      <c r="P18" s="45">
        <f t="shared" si="6"/>
        <v>15769</v>
      </c>
      <c r="Q18" s="45">
        <f>+N18+P18</f>
        <v>94613.731958762888</v>
      </c>
      <c r="R18" s="45">
        <f t="shared" si="8"/>
        <v>94610</v>
      </c>
    </row>
    <row r="19" spans="1:42" ht="51">
      <c r="A19" s="177" t="s">
        <v>127</v>
      </c>
      <c r="B19" s="92" t="s">
        <v>129</v>
      </c>
      <c r="C19" s="115" t="s">
        <v>74</v>
      </c>
      <c r="D19" s="44">
        <f>SUM('3.1 зпл.дезинф.'!F14)</f>
        <v>19773.600000000002</v>
      </c>
      <c r="E19" s="44">
        <f>ROUND(D19*$E$10/100,1)</f>
        <v>1819.2</v>
      </c>
      <c r="F19" s="16">
        <f>+G19+H19</f>
        <v>7358.9000000000005</v>
      </c>
      <c r="G19" s="44">
        <f t="shared" si="0"/>
        <v>7341.6</v>
      </c>
      <c r="H19" s="44">
        <f t="shared" si="1"/>
        <v>17.3</v>
      </c>
      <c r="I19" s="44">
        <f>+ROUND(D19*$I$10/100,1)</f>
        <v>18112.599999999999</v>
      </c>
      <c r="J19" s="44">
        <f>+D19+E19+F19+I19</f>
        <v>47064.3</v>
      </c>
      <c r="K19" s="45">
        <v>30</v>
      </c>
      <c r="L19" s="44">
        <f>+J19*K19/100+J19</f>
        <v>61183.590000000004</v>
      </c>
      <c r="M19" s="44">
        <f>+L19*3/97</f>
        <v>1892.2759793814434</v>
      </c>
      <c r="N19" s="45">
        <f>+L19+M19</f>
        <v>63075.865979381444</v>
      </c>
      <c r="O19" s="45">
        <v>20</v>
      </c>
      <c r="P19" s="45">
        <f t="shared" si="6"/>
        <v>12615</v>
      </c>
      <c r="Q19" s="45">
        <f>+N19+P19</f>
        <v>75690.865979381444</v>
      </c>
      <c r="R19" s="45">
        <f t="shared" si="8"/>
        <v>75690</v>
      </c>
    </row>
    <row r="20" spans="1:42" ht="51">
      <c r="A20" s="177" t="s">
        <v>128</v>
      </c>
      <c r="B20" s="92" t="s">
        <v>130</v>
      </c>
      <c r="C20" s="115" t="s">
        <v>74</v>
      </c>
      <c r="D20" s="45">
        <f>SUM('3.1 зпл.дезинф.'!F15)</f>
        <v>32956</v>
      </c>
      <c r="E20" s="44">
        <f>ROUND(D20*$E$10/100,1)</f>
        <v>3032</v>
      </c>
      <c r="F20" s="16">
        <f>+G20+H20</f>
        <v>12264.699999999999</v>
      </c>
      <c r="G20" s="44">
        <f t="shared" si="0"/>
        <v>12235.9</v>
      </c>
      <c r="H20" s="44">
        <f>+ROUND((D20+E20)*0.08%,1)</f>
        <v>28.8</v>
      </c>
      <c r="I20" s="44">
        <f>+ROUND(D20*$I$10/100,1)</f>
        <v>30187.7</v>
      </c>
      <c r="J20" s="44">
        <f>+D20+E20+F20+I20</f>
        <v>78440.399999999994</v>
      </c>
      <c r="K20" s="45">
        <v>30</v>
      </c>
      <c r="L20" s="44">
        <f>+J20*K20/100+J20</f>
        <v>101972.51999999999</v>
      </c>
      <c r="M20" s="44">
        <f>+L20*3/97</f>
        <v>3153.7892783505149</v>
      </c>
      <c r="N20" s="45">
        <f>+L20+M20</f>
        <v>105126.3092783505</v>
      </c>
      <c r="O20" s="45">
        <v>20</v>
      </c>
      <c r="P20" s="45">
        <f t="shared" si="6"/>
        <v>21025</v>
      </c>
      <c r="Q20" s="45">
        <f>+N20+P20</f>
        <v>126151.3092783505</v>
      </c>
      <c r="R20" s="45">
        <f t="shared" si="8"/>
        <v>126150</v>
      </c>
    </row>
    <row r="21" spans="1:42" ht="26.25" customHeight="1">
      <c r="A21" s="78" t="s">
        <v>131</v>
      </c>
      <c r="B21" s="332" t="s">
        <v>132</v>
      </c>
      <c r="C21" s="333"/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4"/>
    </row>
    <row r="22" spans="1:42" ht="51">
      <c r="A22" s="177" t="s">
        <v>133</v>
      </c>
      <c r="B22" s="75" t="s">
        <v>59</v>
      </c>
      <c r="C22" s="115" t="s">
        <v>74</v>
      </c>
      <c r="D22" s="44">
        <f>SUM('3.1 зпл.дезинф.'!F17)</f>
        <v>24717</v>
      </c>
      <c r="E22" s="44">
        <f>ROUND(D22*$E$10/100,1)</f>
        <v>2274</v>
      </c>
      <c r="F22" s="16">
        <f>+G22+H22</f>
        <v>9198.5</v>
      </c>
      <c r="G22" s="44">
        <f t="shared" si="0"/>
        <v>9176.9</v>
      </c>
      <c r="H22" s="44">
        <f>+ROUND((D22+E22)*0.08%,1)</f>
        <v>21.6</v>
      </c>
      <c r="I22" s="44">
        <f t="shared" si="2"/>
        <v>22640.799999999999</v>
      </c>
      <c r="J22" s="44">
        <f t="shared" si="3"/>
        <v>58830.3</v>
      </c>
      <c r="K22" s="45">
        <v>30</v>
      </c>
      <c r="L22" s="44">
        <f t="shared" si="4"/>
        <v>76479.39</v>
      </c>
      <c r="M22" s="44">
        <f>+L22*3/97</f>
        <v>2365.3419587628864</v>
      </c>
      <c r="N22" s="45">
        <f t="shared" si="5"/>
        <v>78844.731958762888</v>
      </c>
      <c r="O22" s="45">
        <v>20</v>
      </c>
      <c r="P22" s="45">
        <f t="shared" si="6"/>
        <v>15769</v>
      </c>
      <c r="Q22" s="45">
        <f t="shared" si="7"/>
        <v>94613.731958762888</v>
      </c>
      <c r="R22" s="45">
        <f t="shared" si="8"/>
        <v>94610</v>
      </c>
    </row>
    <row r="23" spans="1:42" hidden="1">
      <c r="A23" s="181"/>
      <c r="D23" s="59">
        <f>+'1.1 зпл.дерат.'!G19</f>
        <v>0</v>
      </c>
      <c r="G23" s="59">
        <f>+ROUND((D23+E23)*35%,1)</f>
        <v>0</v>
      </c>
      <c r="H23" s="44">
        <f t="shared" ref="H23:H36" si="9">+ROUND((D23+E23)*0.08%,1)</f>
        <v>0</v>
      </c>
      <c r="I23" s="59">
        <f t="shared" si="2"/>
        <v>0</v>
      </c>
      <c r="J23" s="59">
        <f t="shared" si="3"/>
        <v>0</v>
      </c>
      <c r="K23" s="60">
        <v>17.2</v>
      </c>
      <c r="L23" s="55">
        <f t="shared" si="4"/>
        <v>0</v>
      </c>
      <c r="M23" s="55">
        <f>+L23*0.0204081632653061</f>
        <v>0</v>
      </c>
      <c r="N23" s="56">
        <f t="shared" si="5"/>
        <v>0</v>
      </c>
      <c r="O23" s="56">
        <v>25</v>
      </c>
      <c r="P23" s="45">
        <f t="shared" si="6"/>
        <v>0</v>
      </c>
      <c r="Q23" s="56">
        <f t="shared" si="7"/>
        <v>0</v>
      </c>
      <c r="R23" s="117">
        <f t="shared" si="8"/>
        <v>0</v>
      </c>
    </row>
    <row r="24" spans="1:42" ht="79.5" customHeight="1">
      <c r="A24" s="177" t="s">
        <v>134</v>
      </c>
      <c r="B24" s="75" t="s">
        <v>135</v>
      </c>
      <c r="C24" s="72" t="s">
        <v>75</v>
      </c>
      <c r="D24" s="44">
        <f>SUM('3.1 зпл.дезинф.'!F18)</f>
        <v>32956</v>
      </c>
      <c r="E24" s="44">
        <f>ROUND(D24*$E$10/100,1)</f>
        <v>3032</v>
      </c>
      <c r="F24" s="16">
        <f>+G24+H24</f>
        <v>12264.699999999999</v>
      </c>
      <c r="G24" s="44">
        <f t="shared" si="0"/>
        <v>12235.9</v>
      </c>
      <c r="H24" s="44">
        <f t="shared" si="9"/>
        <v>28.8</v>
      </c>
      <c r="I24" s="44">
        <f>+ROUND(D24*$I$10/100,1)</f>
        <v>30187.7</v>
      </c>
      <c r="J24" s="44">
        <f>+D24+E24+F24+I24</f>
        <v>78440.399999999994</v>
      </c>
      <c r="K24" s="45">
        <v>30</v>
      </c>
      <c r="L24" s="44">
        <f>+J24*K24/100+J24</f>
        <v>101972.51999999999</v>
      </c>
      <c r="M24" s="44">
        <f>+L24*3/97</f>
        <v>3153.7892783505149</v>
      </c>
      <c r="N24" s="45">
        <f>+L24+M24</f>
        <v>105126.3092783505</v>
      </c>
      <c r="O24" s="45">
        <v>20</v>
      </c>
      <c r="P24" s="45">
        <f t="shared" si="6"/>
        <v>21025</v>
      </c>
      <c r="Q24" s="45">
        <f>+N24+P24</f>
        <v>126151.3092783505</v>
      </c>
      <c r="R24" s="45">
        <f t="shared" si="8"/>
        <v>126150</v>
      </c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</row>
    <row r="25" spans="1:42" ht="47.25" customHeight="1">
      <c r="A25" s="177" t="s">
        <v>136</v>
      </c>
      <c r="B25" s="75" t="s">
        <v>137</v>
      </c>
      <c r="C25" s="91" t="s">
        <v>75</v>
      </c>
      <c r="D25" s="44">
        <f>SUM('3.1 зпл.дезинф.'!F19)</f>
        <v>14124</v>
      </c>
      <c r="E25" s="44">
        <f>ROUND(D25*$E$10/100,1)</f>
        <v>1299.4000000000001</v>
      </c>
      <c r="F25" s="16">
        <f>+G25+H25</f>
        <v>5256.3</v>
      </c>
      <c r="G25" s="44">
        <f t="shared" si="0"/>
        <v>5244</v>
      </c>
      <c r="H25" s="44">
        <f t="shared" si="9"/>
        <v>12.3</v>
      </c>
      <c r="I25" s="44">
        <f>+ROUND(D25*$I$10/100,1)</f>
        <v>12937.6</v>
      </c>
      <c r="J25" s="44">
        <f>+D25+E25+F25+I25</f>
        <v>33617.300000000003</v>
      </c>
      <c r="K25" s="45">
        <v>30</v>
      </c>
      <c r="L25" s="44">
        <f>+J25*K25/100+J25</f>
        <v>43702.490000000005</v>
      </c>
      <c r="M25" s="44">
        <f>+L25*3/97</f>
        <v>1351.623402061856</v>
      </c>
      <c r="N25" s="45">
        <f>+L25+M25</f>
        <v>45054.113402061863</v>
      </c>
      <c r="O25" s="45">
        <v>20</v>
      </c>
      <c r="P25" s="45">
        <f t="shared" si="6"/>
        <v>9011</v>
      </c>
      <c r="Q25" s="45">
        <f>+N25+P25</f>
        <v>54065.113402061863</v>
      </c>
      <c r="R25" s="45">
        <f t="shared" si="8"/>
        <v>54070</v>
      </c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</row>
    <row r="26" spans="1:42" hidden="1">
      <c r="A26" s="52"/>
      <c r="B26" s="64"/>
      <c r="C26" s="66"/>
      <c r="D26" s="67"/>
      <c r="E26" s="64"/>
      <c r="F26" s="64"/>
      <c r="G26" s="67"/>
      <c r="H26" s="44">
        <f t="shared" si="9"/>
        <v>0</v>
      </c>
      <c r="I26" s="67"/>
      <c r="J26" s="67"/>
      <c r="K26" s="68"/>
      <c r="L26" s="67"/>
      <c r="M26" s="67"/>
      <c r="N26" s="68"/>
      <c r="O26" s="68"/>
      <c r="P26" s="45">
        <f t="shared" si="6"/>
        <v>0</v>
      </c>
      <c r="Q26" s="68"/>
      <c r="R26" s="68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</row>
    <row r="27" spans="1:42" hidden="1">
      <c r="B27" s="64"/>
      <c r="C27" s="66"/>
      <c r="D27" s="64"/>
      <c r="E27" s="64"/>
      <c r="F27" s="64"/>
      <c r="G27" s="64"/>
      <c r="H27" s="44">
        <f t="shared" si="9"/>
        <v>0</v>
      </c>
      <c r="I27" s="64"/>
      <c r="J27" s="64"/>
      <c r="K27" s="64"/>
      <c r="L27" s="64"/>
      <c r="M27" s="64"/>
      <c r="N27" s="68"/>
      <c r="O27" s="68"/>
      <c r="P27" s="45">
        <f t="shared" si="6"/>
        <v>0</v>
      </c>
      <c r="Q27" s="68"/>
      <c r="R27" s="68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</row>
    <row r="28" spans="1:42" ht="67.5" customHeight="1">
      <c r="A28" s="78" t="s">
        <v>138</v>
      </c>
      <c r="B28" s="98" t="s">
        <v>157</v>
      </c>
      <c r="C28" s="116" t="s">
        <v>75</v>
      </c>
      <c r="D28" s="44">
        <f>SUM('3.1 зпл.дезинф.'!F20)</f>
        <v>13182.4</v>
      </c>
      <c r="E28" s="44">
        <f>ROUND(D28*$E$10/100,1)</f>
        <v>1212.8</v>
      </c>
      <c r="F28" s="16">
        <f>+G28+H28</f>
        <v>4905.8999999999996</v>
      </c>
      <c r="G28" s="44">
        <f t="shared" ref="G28:G36" si="10">+ROUND((D28+E28)*34%,1)</f>
        <v>4894.3999999999996</v>
      </c>
      <c r="H28" s="44">
        <f t="shared" si="9"/>
        <v>11.5</v>
      </c>
      <c r="I28" s="44">
        <f>+ROUND(D28*$I$10/100,1)</f>
        <v>12075.1</v>
      </c>
      <c r="J28" s="44">
        <f>+D28+E28+F28+I28</f>
        <v>31376.199999999997</v>
      </c>
      <c r="K28" s="45">
        <v>30</v>
      </c>
      <c r="L28" s="44">
        <f>+J28*K28/100+J28</f>
        <v>40789.06</v>
      </c>
      <c r="M28" s="44">
        <f>+L28*3/97</f>
        <v>1261.5173195876289</v>
      </c>
      <c r="N28" s="45">
        <f>+L28+M28</f>
        <v>42050.577319587625</v>
      </c>
      <c r="O28" s="45">
        <v>20</v>
      </c>
      <c r="P28" s="45">
        <f t="shared" si="6"/>
        <v>8410</v>
      </c>
      <c r="Q28" s="45">
        <f>+N28+P28</f>
        <v>50460.577319587625</v>
      </c>
      <c r="R28" s="45">
        <f>+ROUND(Q28,-1)</f>
        <v>50460</v>
      </c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</row>
    <row r="29" spans="1:42" ht="18.75" customHeight="1">
      <c r="A29" s="78" t="s">
        <v>140</v>
      </c>
      <c r="B29" s="359" t="s">
        <v>141</v>
      </c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</row>
    <row r="30" spans="1:42" ht="92.25" customHeight="1">
      <c r="A30" s="177" t="s">
        <v>142</v>
      </c>
      <c r="B30" s="75" t="s">
        <v>143</v>
      </c>
      <c r="C30" s="115" t="s">
        <v>144</v>
      </c>
      <c r="D30" s="44">
        <f>SUM('3.1 зпл.дезинф.'!F22)</f>
        <v>29895.8</v>
      </c>
      <c r="E30" s="44">
        <f>ROUND(D30*$E$10/100,1)</f>
        <v>2750.4</v>
      </c>
      <c r="F30" s="16">
        <f>+G30+H30</f>
        <v>11125.800000000001</v>
      </c>
      <c r="G30" s="44">
        <f t="shared" si="10"/>
        <v>11099.7</v>
      </c>
      <c r="H30" s="44">
        <f t="shared" si="9"/>
        <v>26.1</v>
      </c>
      <c r="I30" s="44">
        <f>+ROUND(D30*$I$10/100,1)</f>
        <v>27384.6</v>
      </c>
      <c r="J30" s="44">
        <f>+D30+E30+F30+I30</f>
        <v>71156.600000000006</v>
      </c>
      <c r="K30" s="45">
        <v>30</v>
      </c>
      <c r="L30" s="44">
        <f>+J30*K30/100+J30</f>
        <v>92503.58</v>
      </c>
      <c r="M30" s="44">
        <f>+L30*3/97</f>
        <v>2860.9354639175258</v>
      </c>
      <c r="N30" s="45">
        <f>+L30+M30</f>
        <v>95364.515463917531</v>
      </c>
      <c r="O30" s="45">
        <v>20</v>
      </c>
      <c r="P30" s="45">
        <f t="shared" si="6"/>
        <v>19073</v>
      </c>
      <c r="Q30" s="45">
        <f>+N30+P30</f>
        <v>114437.51546391753</v>
      </c>
      <c r="R30" s="45">
        <f>+ROUND(Q30,-1)</f>
        <v>114440</v>
      </c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</row>
    <row r="31" spans="1:42" ht="94.5" customHeight="1">
      <c r="A31" s="177" t="s">
        <v>145</v>
      </c>
      <c r="B31" s="75" t="s">
        <v>146</v>
      </c>
      <c r="C31" s="115" t="s">
        <v>147</v>
      </c>
      <c r="D31" s="44">
        <f>SUM('3.1 зпл.дезинф.'!F23)</f>
        <v>41195</v>
      </c>
      <c r="E31" s="44">
        <f>ROUND(D31*$E$10/100,1)</f>
        <v>3789.9</v>
      </c>
      <c r="F31" s="16">
        <f>+G31+H31</f>
        <v>15330.9</v>
      </c>
      <c r="G31" s="44">
        <f t="shared" si="10"/>
        <v>15294.9</v>
      </c>
      <c r="H31" s="44">
        <f t="shared" si="9"/>
        <v>36</v>
      </c>
      <c r="I31" s="44">
        <f>+ROUND(D31*$I$10/100,1)</f>
        <v>37734.6</v>
      </c>
      <c r="J31" s="45">
        <f>+D31+E31+F31+I31</f>
        <v>98050.4</v>
      </c>
      <c r="K31" s="45">
        <v>30</v>
      </c>
      <c r="L31" s="44">
        <f>+J31*K31/100+J31</f>
        <v>127465.51999999999</v>
      </c>
      <c r="M31" s="44">
        <f>+L31*3/97</f>
        <v>3942.2325773195871</v>
      </c>
      <c r="N31" s="45">
        <f>+L31+M31</f>
        <v>131407.75257731957</v>
      </c>
      <c r="O31" s="45">
        <v>20</v>
      </c>
      <c r="P31" s="45">
        <f t="shared" si="6"/>
        <v>26282</v>
      </c>
      <c r="Q31" s="45">
        <f>+N31+P31</f>
        <v>157689.75257731957</v>
      </c>
      <c r="R31" s="45">
        <f>+ROUND(Q31,-1)</f>
        <v>157690</v>
      </c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</row>
    <row r="32" spans="1:42" ht="32.25" customHeight="1">
      <c r="A32" s="78" t="s">
        <v>148</v>
      </c>
      <c r="B32" s="332" t="s">
        <v>149</v>
      </c>
      <c r="C32" s="333"/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</row>
    <row r="33" spans="1:42" ht="94.5" customHeight="1">
      <c r="A33" s="177" t="s">
        <v>150</v>
      </c>
      <c r="B33" s="75" t="s">
        <v>143</v>
      </c>
      <c r="C33" s="115" t="s">
        <v>144</v>
      </c>
      <c r="D33" s="44">
        <f>SUM('3.1 зпл.дезинф.'!F25)</f>
        <v>23540</v>
      </c>
      <c r="E33" s="44">
        <f>ROUND(D33*$E$10/100,1)</f>
        <v>2165.6999999999998</v>
      </c>
      <c r="F33" s="16">
        <f>+G33+H33</f>
        <v>8760.5</v>
      </c>
      <c r="G33" s="44">
        <f t="shared" si="10"/>
        <v>8739.9</v>
      </c>
      <c r="H33" s="44">
        <f t="shared" si="9"/>
        <v>20.6</v>
      </c>
      <c r="I33" s="44">
        <f>+ROUND(D33*$I$10/100,1)</f>
        <v>21562.6</v>
      </c>
      <c r="J33" s="44">
        <f>+D33+E33+F33+I33</f>
        <v>56028.799999999996</v>
      </c>
      <c r="K33" s="45">
        <v>30</v>
      </c>
      <c r="L33" s="44">
        <f>+J33*K33/100+J33</f>
        <v>72837.440000000002</v>
      </c>
      <c r="M33" s="44">
        <f>+L33*3/97</f>
        <v>2252.7043298969074</v>
      </c>
      <c r="N33" s="45">
        <f>+L33+M33</f>
        <v>75090.14432989691</v>
      </c>
      <c r="O33" s="45">
        <v>20</v>
      </c>
      <c r="P33" s="45">
        <f t="shared" si="6"/>
        <v>15018</v>
      </c>
      <c r="Q33" s="45">
        <f>+N33+P33</f>
        <v>90108.14432989691</v>
      </c>
      <c r="R33" s="45">
        <f>+ROUND(Q33,-1)</f>
        <v>90110</v>
      </c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</row>
    <row r="34" spans="1:42" ht="90.75" customHeight="1">
      <c r="A34" s="177" t="s">
        <v>151</v>
      </c>
      <c r="B34" s="75" t="s">
        <v>146</v>
      </c>
      <c r="C34" s="115" t="s">
        <v>147</v>
      </c>
      <c r="D34" s="44">
        <f>SUM('3.1 зпл.дезинф.'!F26)</f>
        <v>35310</v>
      </c>
      <c r="E34" s="44">
        <f>ROUND(D34*$E$10/100,1)</f>
        <v>3248.5</v>
      </c>
      <c r="F34" s="16">
        <f>+G34+H34</f>
        <v>13140.699999999999</v>
      </c>
      <c r="G34" s="44">
        <f t="shared" si="10"/>
        <v>13109.9</v>
      </c>
      <c r="H34" s="44">
        <f t="shared" si="9"/>
        <v>30.8</v>
      </c>
      <c r="I34" s="44">
        <f>+ROUND(D34*$I$10/100,1)</f>
        <v>32344</v>
      </c>
      <c r="J34" s="44">
        <f>+D34+E34+F34+I34</f>
        <v>84043.199999999997</v>
      </c>
      <c r="K34" s="45">
        <v>30</v>
      </c>
      <c r="L34" s="44">
        <f>+J34*K34/100+J34</f>
        <v>109256.16</v>
      </c>
      <c r="M34" s="44">
        <f>+L34*3/97</f>
        <v>3379.0564948453607</v>
      </c>
      <c r="N34" s="45">
        <f>+L34+M34</f>
        <v>112635.21649484536</v>
      </c>
      <c r="O34" s="45">
        <v>20</v>
      </c>
      <c r="P34" s="45">
        <f t="shared" si="6"/>
        <v>22527</v>
      </c>
      <c r="Q34" s="45">
        <f>+N34+P34</f>
        <v>135162.21649484534</v>
      </c>
      <c r="R34" s="45">
        <f>+ROUND(Q34,-1)</f>
        <v>135160</v>
      </c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</row>
    <row r="35" spans="1:42" ht="60" customHeight="1">
      <c r="A35" s="87" t="s">
        <v>152</v>
      </c>
      <c r="B35" s="89" t="s">
        <v>162</v>
      </c>
      <c r="C35" s="115" t="s">
        <v>153</v>
      </c>
      <c r="D35" s="44">
        <f>SUM('3.1 зпл.дезинф.'!F27)</f>
        <v>941.6</v>
      </c>
      <c r="E35" s="44">
        <f>ROUND(D35*$E$10/100,1)</f>
        <v>86.6</v>
      </c>
      <c r="F35" s="16">
        <f>+G35+H35</f>
        <v>350.40000000000003</v>
      </c>
      <c r="G35" s="44">
        <f t="shared" si="10"/>
        <v>349.6</v>
      </c>
      <c r="H35" s="44">
        <f t="shared" si="9"/>
        <v>0.8</v>
      </c>
      <c r="I35" s="44">
        <f>+ROUND(D35*$I$10/100,1)</f>
        <v>862.5</v>
      </c>
      <c r="J35" s="44">
        <f>+D35+E35+F35+I35</f>
        <v>2241.1000000000004</v>
      </c>
      <c r="K35" s="45">
        <v>30</v>
      </c>
      <c r="L35" s="44">
        <f>+J35*K35/100+J35</f>
        <v>2913.4300000000003</v>
      </c>
      <c r="M35" s="44">
        <f>+L35*3/97</f>
        <v>90.10608247422681</v>
      </c>
      <c r="N35" s="45">
        <f>+L35+M35</f>
        <v>3003.536082474227</v>
      </c>
      <c r="O35" s="45">
        <v>20</v>
      </c>
      <c r="P35" s="45">
        <f t="shared" si="6"/>
        <v>601</v>
      </c>
      <c r="Q35" s="45">
        <f>+N35+P35</f>
        <v>3604.536082474227</v>
      </c>
      <c r="R35" s="45">
        <f>+ROUND(Q35,-1)</f>
        <v>3600</v>
      </c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</row>
    <row r="36" spans="1:42" ht="48.75" customHeight="1">
      <c r="A36" s="87" t="s">
        <v>154</v>
      </c>
      <c r="B36" s="89" t="s">
        <v>155</v>
      </c>
      <c r="C36" s="115" t="s">
        <v>153</v>
      </c>
      <c r="D36" s="44">
        <f>SUM('3.1 зпл.дезинф.'!F28)</f>
        <v>19773.600000000002</v>
      </c>
      <c r="E36" s="44">
        <f>ROUND(D36*$E$10/100,1)</f>
        <v>1819.2</v>
      </c>
      <c r="F36" s="16">
        <f>+G36+H36</f>
        <v>7358.9000000000005</v>
      </c>
      <c r="G36" s="44">
        <f t="shared" si="10"/>
        <v>7341.6</v>
      </c>
      <c r="H36" s="44">
        <f t="shared" si="9"/>
        <v>17.3</v>
      </c>
      <c r="I36" s="44">
        <f>+ROUND(D36*$I$10/100,1)</f>
        <v>18112.599999999999</v>
      </c>
      <c r="J36" s="44">
        <f>+D36+E36+F36+I36</f>
        <v>47064.3</v>
      </c>
      <c r="K36" s="45">
        <v>30</v>
      </c>
      <c r="L36" s="44">
        <f>+J36*K36/100+J36</f>
        <v>61183.590000000004</v>
      </c>
      <c r="M36" s="44">
        <f>+L36*3/97</f>
        <v>1892.2759793814434</v>
      </c>
      <c r="N36" s="45">
        <f>+L36+M36</f>
        <v>63075.865979381444</v>
      </c>
      <c r="O36" s="45">
        <v>20</v>
      </c>
      <c r="P36" s="45">
        <f t="shared" si="6"/>
        <v>12615</v>
      </c>
      <c r="Q36" s="45">
        <f>+N36+P36</f>
        <v>75690.865979381444</v>
      </c>
      <c r="R36" s="45">
        <f>+ROUND(Q36,-1)</f>
        <v>75690</v>
      </c>
    </row>
    <row r="38" spans="1:42" ht="15.75">
      <c r="C38" s="107" t="s">
        <v>257</v>
      </c>
    </row>
    <row r="39" spans="1:42" ht="15.75">
      <c r="B39" t="s">
        <v>116</v>
      </c>
      <c r="C39" s="90"/>
    </row>
    <row r="40" spans="1:42" ht="15.75">
      <c r="C40" s="107"/>
    </row>
  </sheetData>
  <mergeCells count="7">
    <mergeCell ref="B32:R32"/>
    <mergeCell ref="B8:R8"/>
    <mergeCell ref="A7:P7"/>
    <mergeCell ref="T11:W11"/>
    <mergeCell ref="B29:R29"/>
    <mergeCell ref="B12:R12"/>
    <mergeCell ref="B21:R21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2:AP41"/>
  <sheetViews>
    <sheetView topLeftCell="A9" workbookViewId="0">
      <selection activeCell="F13" sqref="F13"/>
    </sheetView>
  </sheetViews>
  <sheetFormatPr defaultRowHeight="12.75"/>
  <cols>
    <col min="1" max="1" width="4.42578125" style="26" customWidth="1"/>
    <col min="2" max="2" width="14.42578125" customWidth="1"/>
    <col min="3" max="3" width="7" style="41" customWidth="1"/>
    <col min="4" max="4" width="9.140625" customWidth="1"/>
    <col min="5" max="5" width="8.42578125" customWidth="1"/>
    <col min="6" max="6" width="7.28515625" customWidth="1"/>
    <col min="7" max="7" width="8.140625" customWidth="1"/>
    <col min="8" max="8" width="8.42578125" customWidth="1"/>
    <col min="9" max="9" width="7.85546875" customWidth="1"/>
    <col min="10" max="10" width="9.140625" customWidth="1"/>
    <col min="11" max="11" width="3.140625" customWidth="1"/>
    <col min="12" max="12" width="9.42578125" customWidth="1"/>
    <col min="13" max="13" width="8.5703125" customWidth="1"/>
    <col min="14" max="14" width="7.85546875" customWidth="1"/>
    <col min="15" max="15" width="3.42578125" customWidth="1"/>
    <col min="16" max="16" width="8.140625" customWidth="1"/>
    <col min="17" max="17" width="8" customWidth="1"/>
    <col min="18" max="18" width="7.85546875" customWidth="1"/>
    <col min="19" max="19" width="9.140625" style="64"/>
    <col min="20" max="20" width="14.85546875" style="64" customWidth="1"/>
    <col min="21" max="24" width="9.140625" style="64"/>
  </cols>
  <sheetData>
    <row r="2" spans="1:24">
      <c r="H2" s="73" t="s">
        <v>7</v>
      </c>
    </row>
    <row r="3" spans="1:24">
      <c r="H3" s="73" t="s">
        <v>170</v>
      </c>
    </row>
    <row r="4" spans="1:24">
      <c r="H4" s="73" t="s">
        <v>251</v>
      </c>
    </row>
    <row r="5" spans="1:24">
      <c r="H5" s="73" t="s">
        <v>256</v>
      </c>
    </row>
    <row r="6" spans="1:24">
      <c r="H6" s="73" t="s">
        <v>374</v>
      </c>
    </row>
    <row r="7" spans="1:24" ht="35.25" customHeight="1">
      <c r="A7" s="349" t="s">
        <v>54</v>
      </c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</row>
    <row r="8" spans="1:24" ht="13.5">
      <c r="B8" s="366" t="s">
        <v>158</v>
      </c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</row>
    <row r="9" spans="1:24">
      <c r="I9" s="69"/>
    </row>
    <row r="10" spans="1:24" ht="18" customHeight="1">
      <c r="E10" s="182">
        <f>'Расчет доп. ФОТ '!C7</f>
        <v>9.1999999999999993</v>
      </c>
      <c r="I10" s="176">
        <f>'3.1. план.кальк.дезинф'!I10</f>
        <v>91.6</v>
      </c>
    </row>
    <row r="11" spans="1:24" s="49" customFormat="1" ht="140.25" customHeight="1">
      <c r="A11" s="48" t="s">
        <v>0</v>
      </c>
      <c r="B11" s="50" t="s">
        <v>45</v>
      </c>
      <c r="C11" s="47" t="s">
        <v>20</v>
      </c>
      <c r="D11" s="48" t="s">
        <v>53</v>
      </c>
      <c r="E11" s="48" t="s">
        <v>51</v>
      </c>
      <c r="F11" s="48" t="s">
        <v>52</v>
      </c>
      <c r="G11" s="61" t="s">
        <v>377</v>
      </c>
      <c r="H11" s="62" t="s">
        <v>376</v>
      </c>
      <c r="I11" s="47" t="s">
        <v>46</v>
      </c>
      <c r="J11" s="48" t="s">
        <v>2</v>
      </c>
      <c r="K11" s="47" t="s">
        <v>3</v>
      </c>
      <c r="L11" s="48" t="s">
        <v>4</v>
      </c>
      <c r="M11" s="61" t="s">
        <v>174</v>
      </c>
      <c r="N11" s="48" t="s">
        <v>47</v>
      </c>
      <c r="O11" s="48" t="s">
        <v>48</v>
      </c>
      <c r="P11" s="48" t="s">
        <v>49</v>
      </c>
      <c r="Q11" s="48" t="s">
        <v>50</v>
      </c>
      <c r="R11" s="48" t="s">
        <v>5</v>
      </c>
      <c r="S11" s="65"/>
      <c r="T11" s="357" t="s">
        <v>55</v>
      </c>
      <c r="U11" s="358"/>
      <c r="V11" s="358"/>
      <c r="W11" s="358"/>
      <c r="X11" s="65"/>
    </row>
    <row r="12" spans="1:24" s="49" customFormat="1" ht="29.25" customHeight="1">
      <c r="A12" s="74" t="s">
        <v>85</v>
      </c>
      <c r="B12" s="332" t="s">
        <v>86</v>
      </c>
      <c r="C12" s="368"/>
      <c r="D12" s="368"/>
      <c r="E12" s="368"/>
      <c r="F12" s="368"/>
      <c r="G12" s="368"/>
      <c r="H12" s="368"/>
      <c r="I12" s="368"/>
      <c r="J12" s="333"/>
      <c r="K12" s="333"/>
      <c r="L12" s="333"/>
      <c r="M12" s="333"/>
      <c r="N12" s="333"/>
      <c r="O12" s="333"/>
      <c r="P12" s="333"/>
      <c r="Q12" s="333"/>
      <c r="R12" s="334"/>
      <c r="S12" s="65"/>
      <c r="T12" s="70"/>
      <c r="U12" s="71"/>
      <c r="V12" s="71"/>
      <c r="W12" s="71"/>
      <c r="X12" s="65"/>
    </row>
    <row r="13" spans="1:24" s="16" customFormat="1" ht="50.25" customHeight="1">
      <c r="A13" s="177" t="s">
        <v>87</v>
      </c>
      <c r="B13" s="75" t="s">
        <v>59</v>
      </c>
      <c r="C13" s="91" t="s">
        <v>74</v>
      </c>
      <c r="D13" s="44">
        <f>SUM('2.1зпл дезинс'!F10)</f>
        <v>9416</v>
      </c>
      <c r="E13" s="44">
        <f>ROUND(D13*$E$10/100,1)</f>
        <v>866.3</v>
      </c>
      <c r="F13" s="44">
        <f>+G13+H13</f>
        <v>3504.2</v>
      </c>
      <c r="G13" s="44">
        <f>+ROUND((D13+E13)*34%,1)</f>
        <v>3496</v>
      </c>
      <c r="H13" s="44">
        <f>+ROUND((D13+E13)*0.08%,1)</f>
        <v>8.1999999999999993</v>
      </c>
      <c r="I13" s="44">
        <f t="shared" ref="I13:I19" si="0">+ROUND(D13*$I$10/100,1)</f>
        <v>8625.1</v>
      </c>
      <c r="J13" s="44">
        <f>+D13+E13+F13+I13</f>
        <v>22411.599999999999</v>
      </c>
      <c r="K13" s="45">
        <v>30</v>
      </c>
      <c r="L13" s="44">
        <f>+J13*K13/100+J13</f>
        <v>29135.079999999998</v>
      </c>
      <c r="M13" s="44">
        <f>+L13*3/97</f>
        <v>901.08494845360815</v>
      </c>
      <c r="N13" s="45">
        <f>+L13+M13</f>
        <v>30036.164948453606</v>
      </c>
      <c r="O13" s="45">
        <v>20</v>
      </c>
      <c r="P13" s="45">
        <f>ROUND(+N13*O13/100,0)</f>
        <v>6007</v>
      </c>
      <c r="Q13" s="45">
        <f>+N13+P13</f>
        <v>36043.164948453603</v>
      </c>
      <c r="R13" s="45">
        <f>+ROUND(Q13,-1)</f>
        <v>36040</v>
      </c>
      <c r="S13" s="64"/>
      <c r="T13" s="64"/>
      <c r="U13" s="64"/>
      <c r="V13" s="64"/>
      <c r="W13" s="64"/>
      <c r="X13" s="64"/>
    </row>
    <row r="14" spans="1:24" s="16" customFormat="1" ht="16.5" hidden="1" customHeight="1">
      <c r="A14" s="179"/>
      <c r="B14" s="43"/>
      <c r="C14" s="46"/>
      <c r="D14" s="44"/>
      <c r="G14" s="44">
        <f>+ROUND((D14+E14)*35%,1)</f>
        <v>0</v>
      </c>
      <c r="H14" s="44">
        <f t="shared" ref="H14:H22" si="1">+ROUND((D14+E14)*0.08%,1)</f>
        <v>0</v>
      </c>
      <c r="I14" s="44">
        <f t="shared" si="0"/>
        <v>0</v>
      </c>
      <c r="J14" s="44">
        <f t="shared" ref="J14:J19" si="2">+D14+E14+F14+I14</f>
        <v>0</v>
      </c>
      <c r="K14" s="45">
        <v>16</v>
      </c>
      <c r="L14" s="44">
        <f t="shared" ref="L14:L19" si="3">+J14*K14/100+J14</f>
        <v>0</v>
      </c>
      <c r="M14" s="44">
        <f t="shared" ref="M14:M22" si="4">+L14*3/97</f>
        <v>0</v>
      </c>
      <c r="N14" s="45">
        <f t="shared" ref="N14:N19" si="5">+L14+M14</f>
        <v>0</v>
      </c>
      <c r="O14" s="45">
        <v>19</v>
      </c>
      <c r="P14" s="45">
        <f t="shared" ref="P14:P22" si="6">ROUND(+N14*O14/100,0)</f>
        <v>0</v>
      </c>
      <c r="Q14" s="45">
        <f t="shared" ref="Q14:Q19" si="7">+N14+P14</f>
        <v>0</v>
      </c>
      <c r="R14" s="45">
        <f t="shared" ref="R14:R22" si="8">+ROUND(Q14,-1)</f>
        <v>0</v>
      </c>
      <c r="S14" s="64"/>
      <c r="T14" s="64"/>
      <c r="U14" s="64"/>
      <c r="V14" s="64"/>
      <c r="W14" s="64"/>
      <c r="X14" s="64"/>
    </row>
    <row r="15" spans="1:24" s="16" customFormat="1" ht="81" customHeight="1">
      <c r="A15" s="177" t="s">
        <v>89</v>
      </c>
      <c r="B15" s="75" t="s">
        <v>62</v>
      </c>
      <c r="C15" s="72" t="s">
        <v>75</v>
      </c>
      <c r="D15" s="44">
        <f>SUM('2.1зпл дезинс'!F11)</f>
        <v>8945.2000000000007</v>
      </c>
      <c r="E15" s="44">
        <f>ROUND(D15*$E$10/100,1)</f>
        <v>823</v>
      </c>
      <c r="F15" s="16">
        <f>+G15+H15</f>
        <v>3329</v>
      </c>
      <c r="G15" s="44">
        <f>+ROUND((D15+E15)*34%,1)</f>
        <v>3321.2</v>
      </c>
      <c r="H15" s="44">
        <f t="shared" si="1"/>
        <v>7.8</v>
      </c>
      <c r="I15" s="44">
        <f t="shared" si="0"/>
        <v>8193.7999999999993</v>
      </c>
      <c r="J15" s="44">
        <f t="shared" si="2"/>
        <v>21291</v>
      </c>
      <c r="K15" s="45">
        <v>30</v>
      </c>
      <c r="L15" s="44">
        <f t="shared" si="3"/>
        <v>27678.3</v>
      </c>
      <c r="M15" s="44">
        <f t="shared" si="4"/>
        <v>856.02989690721643</v>
      </c>
      <c r="N15" s="45">
        <f t="shared" si="5"/>
        <v>28534.329896907217</v>
      </c>
      <c r="O15" s="45">
        <v>20</v>
      </c>
      <c r="P15" s="45">
        <f t="shared" si="6"/>
        <v>5707</v>
      </c>
      <c r="Q15" s="45">
        <f t="shared" si="7"/>
        <v>34241.32989690722</v>
      </c>
      <c r="R15" s="45">
        <f t="shared" si="8"/>
        <v>34240</v>
      </c>
      <c r="S15" s="64"/>
      <c r="T15" s="64"/>
      <c r="U15" s="64"/>
      <c r="V15" s="64"/>
      <c r="W15" s="64"/>
      <c r="X15" s="64"/>
    </row>
    <row r="16" spans="1:24" s="16" customFormat="1" ht="81" customHeight="1">
      <c r="A16" s="177" t="s">
        <v>90</v>
      </c>
      <c r="B16" s="75" t="s">
        <v>68</v>
      </c>
      <c r="C16" s="72" t="s">
        <v>75</v>
      </c>
      <c r="D16" s="44">
        <f>SUM('2.1зпл дезинс'!F12)</f>
        <v>5178.8</v>
      </c>
      <c r="E16" s="44">
        <f>ROUND(D16*$E$10/100,1)</f>
        <v>476.4</v>
      </c>
      <c r="F16" s="16">
        <f>+G16+H16</f>
        <v>1927.3</v>
      </c>
      <c r="G16" s="44">
        <f>+ROUND((D16+E16)*34%,1)</f>
        <v>1922.8</v>
      </c>
      <c r="H16" s="44">
        <f t="shared" si="1"/>
        <v>4.5</v>
      </c>
      <c r="I16" s="44">
        <f t="shared" si="0"/>
        <v>4743.8</v>
      </c>
      <c r="J16" s="44">
        <f t="shared" si="2"/>
        <v>12326.3</v>
      </c>
      <c r="K16" s="45">
        <v>30</v>
      </c>
      <c r="L16" s="44">
        <f t="shared" si="3"/>
        <v>16024.189999999999</v>
      </c>
      <c r="M16" s="44">
        <f t="shared" si="4"/>
        <v>495.5935051546391</v>
      </c>
      <c r="N16" s="45">
        <f t="shared" si="5"/>
        <v>16519.783505154639</v>
      </c>
      <c r="O16" s="45">
        <v>20</v>
      </c>
      <c r="P16" s="45">
        <f t="shared" si="6"/>
        <v>3304</v>
      </c>
      <c r="Q16" s="45">
        <f t="shared" si="7"/>
        <v>19823.783505154639</v>
      </c>
      <c r="R16" s="45">
        <f t="shared" si="8"/>
        <v>19820</v>
      </c>
      <c r="S16" s="64"/>
      <c r="T16" s="64"/>
      <c r="U16" s="64"/>
      <c r="V16" s="64"/>
      <c r="W16" s="64"/>
      <c r="X16" s="64"/>
    </row>
    <row r="17" spans="1:42" ht="19.5" customHeight="1">
      <c r="A17" s="78" t="s">
        <v>91</v>
      </c>
      <c r="B17" s="332" t="s">
        <v>92</v>
      </c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5"/>
    </row>
    <row r="18" spans="1:42" ht="53.25" customHeight="1">
      <c r="A18" s="177" t="s">
        <v>93</v>
      </c>
      <c r="B18" s="75" t="s">
        <v>59</v>
      </c>
      <c r="C18" s="72" t="s">
        <v>74</v>
      </c>
      <c r="D18" s="44">
        <f>SUM('2.1зпл дезинс'!F14)</f>
        <v>6826.6</v>
      </c>
      <c r="E18" s="44">
        <f>ROUND(D18*$E$10/100,1)</f>
        <v>628</v>
      </c>
      <c r="F18" s="16">
        <f>+G18+H18</f>
        <v>2540.6</v>
      </c>
      <c r="G18" s="44">
        <f>+ROUND((D18+E18)*34%,1)</f>
        <v>2534.6</v>
      </c>
      <c r="H18" s="44">
        <f t="shared" si="1"/>
        <v>6</v>
      </c>
      <c r="I18" s="44">
        <f t="shared" si="0"/>
        <v>6253.2</v>
      </c>
      <c r="J18" s="44">
        <f t="shared" si="2"/>
        <v>16248.400000000001</v>
      </c>
      <c r="K18" s="45">
        <v>30</v>
      </c>
      <c r="L18" s="44">
        <f t="shared" si="3"/>
        <v>21122.920000000002</v>
      </c>
      <c r="M18" s="44">
        <f t="shared" si="4"/>
        <v>653.28618556701042</v>
      </c>
      <c r="N18" s="45">
        <f t="shared" si="5"/>
        <v>21776.206185567011</v>
      </c>
      <c r="O18" s="45">
        <v>20</v>
      </c>
      <c r="P18" s="45">
        <f t="shared" si="6"/>
        <v>4355</v>
      </c>
      <c r="Q18" s="45">
        <f t="shared" si="7"/>
        <v>26131.206185567011</v>
      </c>
      <c r="R18" s="45">
        <f t="shared" si="8"/>
        <v>26130</v>
      </c>
    </row>
    <row r="19" spans="1:42" hidden="1">
      <c r="A19" s="181"/>
      <c r="D19" s="59">
        <f>+'1.1 зпл.дерат.'!G19</f>
        <v>0</v>
      </c>
      <c r="G19" s="59">
        <f>+ROUND((D19+E19)*35%,1)</f>
        <v>0</v>
      </c>
      <c r="H19" s="44">
        <f t="shared" si="1"/>
        <v>0</v>
      </c>
      <c r="I19" s="59">
        <f t="shared" si="0"/>
        <v>0</v>
      </c>
      <c r="J19" s="59">
        <f t="shared" si="2"/>
        <v>0</v>
      </c>
      <c r="K19" s="60">
        <v>17.2</v>
      </c>
      <c r="L19" s="55">
        <f t="shared" si="3"/>
        <v>0</v>
      </c>
      <c r="M19" s="55">
        <f>+L19*0.0204081632653061</f>
        <v>0</v>
      </c>
      <c r="N19" s="55">
        <f t="shared" si="5"/>
        <v>0</v>
      </c>
      <c r="O19" s="56">
        <v>25</v>
      </c>
      <c r="P19" s="45">
        <f t="shared" si="6"/>
        <v>0</v>
      </c>
      <c r="Q19" s="55">
        <f t="shared" si="7"/>
        <v>0</v>
      </c>
      <c r="R19" s="63">
        <f t="shared" si="8"/>
        <v>0</v>
      </c>
    </row>
    <row r="20" spans="1:42" ht="78.75" customHeight="1">
      <c r="A20" s="177" t="s">
        <v>94</v>
      </c>
      <c r="B20" s="75" t="s">
        <v>62</v>
      </c>
      <c r="C20" s="72" t="s">
        <v>75</v>
      </c>
      <c r="D20" s="44">
        <f>SUM('2.1зпл дезинс'!F15)</f>
        <v>6120.4000000000005</v>
      </c>
      <c r="E20" s="44">
        <f>ROUND(D20*$E$10/100,1)</f>
        <v>563.1</v>
      </c>
      <c r="F20" s="16">
        <f>+G20+H20</f>
        <v>2277.7000000000003</v>
      </c>
      <c r="G20" s="44">
        <f>+ROUND((D20+E20)*34%,1)</f>
        <v>2272.4</v>
      </c>
      <c r="H20" s="44">
        <f t="shared" si="1"/>
        <v>5.3</v>
      </c>
      <c r="I20" s="44">
        <f>+ROUND(D20*$I$10/100,1)</f>
        <v>5606.3</v>
      </c>
      <c r="J20" s="44">
        <f>+D20+E20+F20+I20</f>
        <v>14567.5</v>
      </c>
      <c r="K20" s="45">
        <v>30</v>
      </c>
      <c r="L20" s="44">
        <f>+J20*K20/100+J20</f>
        <v>18937.75</v>
      </c>
      <c r="M20" s="44">
        <f t="shared" si="4"/>
        <v>585.70360824742272</v>
      </c>
      <c r="N20" s="45">
        <f>+L20+M20</f>
        <v>19523.453608247422</v>
      </c>
      <c r="O20" s="45">
        <v>20</v>
      </c>
      <c r="P20" s="45">
        <f t="shared" si="6"/>
        <v>3905</v>
      </c>
      <c r="Q20" s="45">
        <f>+N20+P20</f>
        <v>23428.453608247422</v>
      </c>
      <c r="R20" s="45">
        <f t="shared" si="8"/>
        <v>23430</v>
      </c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</row>
    <row r="21" spans="1:42" hidden="1">
      <c r="A21" s="181"/>
      <c r="B21" s="64"/>
      <c r="C21" s="66"/>
      <c r="D21" s="44">
        <f>+'1.1 зпл.дерат.'!G21</f>
        <v>0</v>
      </c>
      <c r="E21" s="44">
        <f>ROUND(D21*$E$10/100,1)</f>
        <v>0</v>
      </c>
      <c r="F21" s="16">
        <f>+G21+H21</f>
        <v>0</v>
      </c>
      <c r="G21" s="44">
        <f>+ROUND((D21+E21)*35%,1)</f>
        <v>0</v>
      </c>
      <c r="H21" s="44">
        <f t="shared" si="1"/>
        <v>0</v>
      </c>
      <c r="I21" s="44">
        <f>+ROUND(D21*$I$10/100,1)</f>
        <v>0</v>
      </c>
      <c r="J21" s="44">
        <f>+D21+E21+F21+I21</f>
        <v>0</v>
      </c>
      <c r="K21" s="45"/>
      <c r="L21" s="44">
        <f>+J21*K21/100+J21</f>
        <v>0</v>
      </c>
      <c r="M21" s="44">
        <f>+L21*0.0204081632653061</f>
        <v>0</v>
      </c>
      <c r="N21" s="44">
        <f>+L21+M21</f>
        <v>0</v>
      </c>
      <c r="O21" s="45">
        <v>18</v>
      </c>
      <c r="P21" s="45">
        <f t="shared" si="6"/>
        <v>0</v>
      </c>
      <c r="Q21" s="45">
        <f>+N21+P21</f>
        <v>0</v>
      </c>
      <c r="R21" s="44">
        <f t="shared" si="8"/>
        <v>0</v>
      </c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</row>
    <row r="22" spans="1:42" ht="71.25" customHeight="1">
      <c r="A22" s="177" t="s">
        <v>95</v>
      </c>
      <c r="B22" s="75" t="s">
        <v>68</v>
      </c>
      <c r="C22" s="91" t="s">
        <v>75</v>
      </c>
      <c r="D22" s="44">
        <f>SUM('2.1зпл дезинс'!F16)</f>
        <v>4001.8</v>
      </c>
      <c r="E22" s="44">
        <f>ROUND(D22*$E$10/100,1)</f>
        <v>368.2</v>
      </c>
      <c r="F22" s="16">
        <f>+G22+H22</f>
        <v>1489.3</v>
      </c>
      <c r="G22" s="44">
        <f>+ROUND((D22+E22)*34%,1)</f>
        <v>1485.8</v>
      </c>
      <c r="H22" s="44">
        <f t="shared" si="1"/>
        <v>3.5</v>
      </c>
      <c r="I22" s="44">
        <f>+ROUND(D22*$I$10/100,1)</f>
        <v>3665.6</v>
      </c>
      <c r="J22" s="44">
        <f>+D22+E22+F22+I22</f>
        <v>9524.9</v>
      </c>
      <c r="K22" s="45">
        <v>30</v>
      </c>
      <c r="L22" s="44">
        <f>+J22*K22/100+J22</f>
        <v>12382.369999999999</v>
      </c>
      <c r="M22" s="44">
        <f t="shared" si="4"/>
        <v>382.95989690721649</v>
      </c>
      <c r="N22" s="45">
        <f>+L22+M22</f>
        <v>12765.329896907215</v>
      </c>
      <c r="O22" s="45">
        <v>20</v>
      </c>
      <c r="P22" s="45">
        <f t="shared" si="6"/>
        <v>2553</v>
      </c>
      <c r="Q22" s="45">
        <f>+N22+P22</f>
        <v>15318.329896907215</v>
      </c>
      <c r="R22" s="45">
        <f t="shared" si="8"/>
        <v>15320</v>
      </c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</row>
    <row r="23" spans="1:42" hidden="1">
      <c r="A23" s="52"/>
      <c r="B23" s="64"/>
      <c r="C23" s="66"/>
      <c r="D23" s="67"/>
      <c r="E23" s="64"/>
      <c r="F23" s="64"/>
      <c r="G23" s="67"/>
      <c r="H23" s="67"/>
      <c r="I23" s="67"/>
      <c r="J23" s="67"/>
      <c r="K23" s="68"/>
      <c r="L23" s="67"/>
      <c r="M23" s="67"/>
      <c r="N23" s="67"/>
      <c r="O23" s="68"/>
      <c r="P23" s="67"/>
      <c r="Q23" s="67"/>
      <c r="R23" s="67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</row>
    <row r="24" spans="1:42" hidden="1">
      <c r="B24" s="64"/>
      <c r="C24" s="66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</row>
    <row r="25" spans="1:42" ht="27" customHeight="1">
      <c r="A25" s="78" t="s">
        <v>96</v>
      </c>
      <c r="B25" s="332" t="s">
        <v>172</v>
      </c>
      <c r="C25" s="364"/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4"/>
      <c r="P25" s="364"/>
      <c r="Q25" s="364"/>
      <c r="R25" s="365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</row>
    <row r="26" spans="1:42" ht="51.75" customHeight="1">
      <c r="A26" s="177" t="s">
        <v>98</v>
      </c>
      <c r="B26" s="75" t="s">
        <v>59</v>
      </c>
      <c r="C26" s="72" t="s">
        <v>74</v>
      </c>
      <c r="D26" s="44">
        <f>SUM('2.1зпл дезинс'!F18)</f>
        <v>40488.800000000003</v>
      </c>
      <c r="E26" s="44">
        <f>ROUND(D26*$E$10/100,1)</f>
        <v>3725</v>
      </c>
      <c r="F26" s="16">
        <f>+G26+H26</f>
        <v>15068.1</v>
      </c>
      <c r="G26" s="44">
        <f>+ROUND((D26+E26)*34%,1)</f>
        <v>15032.7</v>
      </c>
      <c r="H26" s="44">
        <f t="shared" ref="H26:H38" si="9">+ROUND((D26+E26)*0.08%,1)</f>
        <v>35.4</v>
      </c>
      <c r="I26" s="44">
        <f>+ROUND(D26*$I$10/100,1)</f>
        <v>37087.699999999997</v>
      </c>
      <c r="J26" s="44">
        <f>+D26+E26+F26+I26</f>
        <v>96369.600000000006</v>
      </c>
      <c r="K26" s="45">
        <v>30</v>
      </c>
      <c r="L26" s="44">
        <f>+J26*K26/100+J26</f>
        <v>125280.48000000001</v>
      </c>
      <c r="M26" s="44">
        <f t="shared" ref="M26:M38" si="10">+L26*3/97</f>
        <v>3874.6540206185573</v>
      </c>
      <c r="N26" s="45">
        <f>+L26+M26</f>
        <v>129155.13402061857</v>
      </c>
      <c r="O26" s="45">
        <v>20</v>
      </c>
      <c r="P26" s="45">
        <f t="shared" ref="P26:P38" si="11">ROUND(+N26*O26/100,0)</f>
        <v>25831</v>
      </c>
      <c r="Q26" s="45">
        <f>+N26+P26</f>
        <v>154986.13402061857</v>
      </c>
      <c r="R26" s="45">
        <f>+ROUND(Q26,-1)</f>
        <v>154990</v>
      </c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</row>
    <row r="27" spans="1:42" ht="80.25" customHeight="1">
      <c r="A27" s="177" t="s">
        <v>99</v>
      </c>
      <c r="B27" s="75" t="s">
        <v>62</v>
      </c>
      <c r="C27" s="72" t="s">
        <v>75</v>
      </c>
      <c r="D27" s="44">
        <f>SUM('2.1зпл дезинс'!F19)</f>
        <v>13888.6</v>
      </c>
      <c r="E27" s="44">
        <f>ROUND(D27*$E$10/100,1)</f>
        <v>1277.8</v>
      </c>
      <c r="F27" s="16">
        <f>+G27+H27</f>
        <v>5168.7000000000007</v>
      </c>
      <c r="G27" s="44">
        <f>+ROUND((D27+E27)*34%,1)</f>
        <v>5156.6000000000004</v>
      </c>
      <c r="H27" s="44">
        <f t="shared" si="9"/>
        <v>12.1</v>
      </c>
      <c r="I27" s="44">
        <f>+ROUND(D27*$I$10/100,1)</f>
        <v>12722</v>
      </c>
      <c r="J27" s="44">
        <f>+D27+E27+F27+I27</f>
        <v>33057.1</v>
      </c>
      <c r="K27" s="45">
        <v>30</v>
      </c>
      <c r="L27" s="44">
        <f>+J27*K27/100+J27</f>
        <v>42974.229999999996</v>
      </c>
      <c r="M27" s="44">
        <f t="shared" si="10"/>
        <v>1329.0998969072164</v>
      </c>
      <c r="N27" s="45">
        <f>+L27+M27</f>
        <v>44303.329896907213</v>
      </c>
      <c r="O27" s="45">
        <v>20</v>
      </c>
      <c r="P27" s="45">
        <f t="shared" si="11"/>
        <v>8861</v>
      </c>
      <c r="Q27" s="45">
        <f>+N27+P27</f>
        <v>53164.329896907213</v>
      </c>
      <c r="R27" s="45">
        <f>+ROUND(Q27,-1)</f>
        <v>53160</v>
      </c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</row>
    <row r="28" spans="1:42" ht="80.25" customHeight="1">
      <c r="A28" s="177" t="s">
        <v>100</v>
      </c>
      <c r="B28" s="75" t="s">
        <v>68</v>
      </c>
      <c r="C28" s="72" t="s">
        <v>75</v>
      </c>
      <c r="D28" s="44">
        <f>SUM('2.1зпл дезинс'!F20)</f>
        <v>7768.2</v>
      </c>
      <c r="E28" s="44">
        <f>ROUND(D28*$E$10/100,1)</f>
        <v>714.7</v>
      </c>
      <c r="F28" s="16">
        <f>+G28+H28</f>
        <v>2891</v>
      </c>
      <c r="G28" s="44">
        <f>+ROUND((D28+E28)*34%,1)</f>
        <v>2884.2</v>
      </c>
      <c r="H28" s="44">
        <f t="shared" si="9"/>
        <v>6.8</v>
      </c>
      <c r="I28" s="44">
        <f>+ROUND(D28*$I$10/100,1)</f>
        <v>7115.7</v>
      </c>
      <c r="J28" s="44">
        <f>+D28+E28+F28+I28</f>
        <v>18489.599999999999</v>
      </c>
      <c r="K28" s="45">
        <v>30</v>
      </c>
      <c r="L28" s="44">
        <f>+J28*K28/100+J28</f>
        <v>24036.48</v>
      </c>
      <c r="M28" s="44">
        <f t="shared" si="10"/>
        <v>743.39628865979387</v>
      </c>
      <c r="N28" s="45">
        <f>+L28+M28</f>
        <v>24779.876288659794</v>
      </c>
      <c r="O28" s="45">
        <v>20</v>
      </c>
      <c r="P28" s="45">
        <f t="shared" si="11"/>
        <v>4956</v>
      </c>
      <c r="Q28" s="45">
        <f>+N28+P28</f>
        <v>29735.876288659794</v>
      </c>
      <c r="R28" s="45">
        <f>+ROUND(Q28,-1)</f>
        <v>29740</v>
      </c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</row>
    <row r="29" spans="1:42" ht="24.75" customHeight="1">
      <c r="A29" s="78" t="s">
        <v>101</v>
      </c>
      <c r="B29" s="332" t="s">
        <v>102</v>
      </c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64"/>
      <c r="N29" s="364"/>
      <c r="O29" s="364"/>
      <c r="P29" s="364"/>
      <c r="Q29" s="364"/>
      <c r="R29" s="365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</row>
    <row r="30" spans="1:42" ht="62.25" customHeight="1">
      <c r="A30" s="177" t="s">
        <v>103</v>
      </c>
      <c r="B30" s="75" t="s">
        <v>59</v>
      </c>
      <c r="C30" s="72" t="s">
        <v>74</v>
      </c>
      <c r="D30" s="44">
        <f>SUM('2.1зпл дезинс'!F22)</f>
        <v>6355.8</v>
      </c>
      <c r="E30" s="44">
        <f>ROUND(D30*$E$10/100,1)</f>
        <v>584.70000000000005</v>
      </c>
      <c r="F30" s="16">
        <f t="shared" ref="F30:F38" si="12">+G30+H30</f>
        <v>2365.4</v>
      </c>
      <c r="G30" s="44">
        <f t="shared" ref="G30:G38" si="13">+ROUND((D30+E30)*34%,1)</f>
        <v>2359.8000000000002</v>
      </c>
      <c r="H30" s="44">
        <f t="shared" si="9"/>
        <v>5.6</v>
      </c>
      <c r="I30" s="44">
        <f t="shared" ref="I30:I38" si="14">+ROUND(D30*$I$10/100,1)</f>
        <v>5821.9</v>
      </c>
      <c r="J30" s="44">
        <f t="shared" ref="J30:J38" si="15">+D30+E30+F30+I30</f>
        <v>15127.8</v>
      </c>
      <c r="K30" s="45">
        <v>30</v>
      </c>
      <c r="L30" s="44">
        <f t="shared" ref="L30:L38" si="16">+J30*K30/100+J30</f>
        <v>19666.14</v>
      </c>
      <c r="M30" s="44">
        <f t="shared" si="10"/>
        <v>608.23113402061858</v>
      </c>
      <c r="N30" s="45">
        <f t="shared" ref="N30:N38" si="17">+L30+M30</f>
        <v>20274.371134020617</v>
      </c>
      <c r="O30" s="45">
        <v>20</v>
      </c>
      <c r="P30" s="45">
        <f t="shared" si="11"/>
        <v>4055</v>
      </c>
      <c r="Q30" s="45">
        <f t="shared" ref="Q30:Q38" si="18">+N30+P30</f>
        <v>24329.371134020617</v>
      </c>
      <c r="R30" s="45">
        <f>+ROUND(Q30,-1)</f>
        <v>24330</v>
      </c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</row>
    <row r="31" spans="1:42" ht="79.5" customHeight="1">
      <c r="A31" s="177" t="s">
        <v>104</v>
      </c>
      <c r="B31" s="75" t="s">
        <v>62</v>
      </c>
      <c r="C31" s="72" t="s">
        <v>75</v>
      </c>
      <c r="D31" s="44">
        <f>SUM('2.1зпл дезинс'!F23)</f>
        <v>5649.6</v>
      </c>
      <c r="E31" s="44">
        <f t="shared" ref="E31:E38" si="19">ROUND(D31*$E$10/100,1)</f>
        <v>519.79999999999995</v>
      </c>
      <c r="F31" s="16">
        <f t="shared" si="12"/>
        <v>2102.5</v>
      </c>
      <c r="G31" s="44">
        <f t="shared" si="13"/>
        <v>2097.6</v>
      </c>
      <c r="H31" s="44">
        <f t="shared" si="9"/>
        <v>4.9000000000000004</v>
      </c>
      <c r="I31" s="44">
        <f t="shared" si="14"/>
        <v>5175</v>
      </c>
      <c r="J31" s="44">
        <f t="shared" si="15"/>
        <v>13446.900000000001</v>
      </c>
      <c r="K31" s="45">
        <v>30</v>
      </c>
      <c r="L31" s="44">
        <f t="shared" si="16"/>
        <v>17480.97</v>
      </c>
      <c r="M31" s="44">
        <f t="shared" si="10"/>
        <v>540.648556701031</v>
      </c>
      <c r="N31" s="45">
        <f t="shared" si="17"/>
        <v>18021.618556701033</v>
      </c>
      <c r="O31" s="45">
        <v>20</v>
      </c>
      <c r="P31" s="45">
        <f t="shared" si="11"/>
        <v>3604</v>
      </c>
      <c r="Q31" s="45">
        <f t="shared" si="18"/>
        <v>21625.618556701033</v>
      </c>
      <c r="R31" s="45">
        <f t="shared" ref="R31:R38" si="20">+ROUND(Q31,-1)</f>
        <v>21630</v>
      </c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</row>
    <row r="32" spans="1:42" ht="78.75" customHeight="1">
      <c r="A32" s="177" t="s">
        <v>105</v>
      </c>
      <c r="B32" s="75" t="s">
        <v>68</v>
      </c>
      <c r="C32" s="72" t="s">
        <v>75</v>
      </c>
      <c r="D32" s="44">
        <f>SUM('2.1зпл дезинс'!F24)</f>
        <v>4472.6000000000004</v>
      </c>
      <c r="E32" s="44">
        <f t="shared" si="19"/>
        <v>411.5</v>
      </c>
      <c r="F32" s="16">
        <f t="shared" si="12"/>
        <v>1664.5</v>
      </c>
      <c r="G32" s="44">
        <f t="shared" si="13"/>
        <v>1660.6</v>
      </c>
      <c r="H32" s="44">
        <f t="shared" si="9"/>
        <v>3.9</v>
      </c>
      <c r="I32" s="44">
        <f t="shared" si="14"/>
        <v>4096.8999999999996</v>
      </c>
      <c r="J32" s="44">
        <f t="shared" si="15"/>
        <v>10645.5</v>
      </c>
      <c r="K32" s="45">
        <v>30</v>
      </c>
      <c r="L32" s="44">
        <f t="shared" si="16"/>
        <v>13839.15</v>
      </c>
      <c r="M32" s="44">
        <f t="shared" si="10"/>
        <v>428.01494845360821</v>
      </c>
      <c r="N32" s="45">
        <f t="shared" si="17"/>
        <v>14267.164948453608</v>
      </c>
      <c r="O32" s="45">
        <v>20</v>
      </c>
      <c r="P32" s="45">
        <f t="shared" si="11"/>
        <v>2853</v>
      </c>
      <c r="Q32" s="45">
        <f t="shared" si="18"/>
        <v>17120.16494845361</v>
      </c>
      <c r="R32" s="45">
        <f>+ROUND(Q32,-1)</f>
        <v>17120</v>
      </c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</row>
    <row r="33" spans="1:42" ht="81.75" customHeight="1">
      <c r="A33" s="87" t="s">
        <v>106</v>
      </c>
      <c r="B33" s="98" t="s">
        <v>166</v>
      </c>
      <c r="C33" s="72" t="s">
        <v>114</v>
      </c>
      <c r="D33" s="44">
        <f>SUM('2.1зпл дезинс'!F25)</f>
        <v>17419.600000000002</v>
      </c>
      <c r="E33" s="44">
        <f t="shared" si="19"/>
        <v>1602.6</v>
      </c>
      <c r="F33" s="16">
        <f t="shared" si="12"/>
        <v>6482.7</v>
      </c>
      <c r="G33" s="44">
        <f t="shared" si="13"/>
        <v>6467.5</v>
      </c>
      <c r="H33" s="44">
        <f t="shared" si="9"/>
        <v>15.2</v>
      </c>
      <c r="I33" s="44">
        <f t="shared" si="14"/>
        <v>15956.4</v>
      </c>
      <c r="J33" s="44">
        <f t="shared" si="15"/>
        <v>41461.300000000003</v>
      </c>
      <c r="K33" s="45">
        <v>30</v>
      </c>
      <c r="L33" s="44">
        <f t="shared" si="16"/>
        <v>53899.69</v>
      </c>
      <c r="M33" s="44">
        <f t="shared" si="10"/>
        <v>1667.0007216494846</v>
      </c>
      <c r="N33" s="45">
        <f t="shared" si="17"/>
        <v>55566.690721649487</v>
      </c>
      <c r="O33" s="45">
        <v>20</v>
      </c>
      <c r="P33" s="45">
        <f t="shared" si="11"/>
        <v>11113</v>
      </c>
      <c r="Q33" s="45">
        <f t="shared" si="18"/>
        <v>66679.690721649487</v>
      </c>
      <c r="R33" s="45">
        <f t="shared" si="20"/>
        <v>66680</v>
      </c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</row>
    <row r="34" spans="1:42" ht="77.25" customHeight="1">
      <c r="A34" s="87" t="s">
        <v>107</v>
      </c>
      <c r="B34" s="98" t="s">
        <v>165</v>
      </c>
      <c r="C34" s="72" t="s">
        <v>75</v>
      </c>
      <c r="D34" s="44">
        <f>SUM('2.1зпл дезинс'!F26)</f>
        <v>20950.600000000002</v>
      </c>
      <c r="E34" s="44">
        <f t="shared" si="19"/>
        <v>1927.5</v>
      </c>
      <c r="F34" s="16">
        <f t="shared" si="12"/>
        <v>7796.9000000000005</v>
      </c>
      <c r="G34" s="44">
        <f t="shared" si="13"/>
        <v>7778.6</v>
      </c>
      <c r="H34" s="44">
        <f t="shared" si="9"/>
        <v>18.3</v>
      </c>
      <c r="I34" s="44">
        <f t="shared" si="14"/>
        <v>19190.7</v>
      </c>
      <c r="J34" s="44">
        <f t="shared" si="15"/>
        <v>49865.700000000004</v>
      </c>
      <c r="K34" s="45">
        <v>30</v>
      </c>
      <c r="L34" s="44">
        <f t="shared" si="16"/>
        <v>64825.41</v>
      </c>
      <c r="M34" s="44">
        <f t="shared" si="10"/>
        <v>2004.9095876288661</v>
      </c>
      <c r="N34" s="45">
        <f t="shared" si="17"/>
        <v>66830.319587628866</v>
      </c>
      <c r="O34" s="45">
        <v>20</v>
      </c>
      <c r="P34" s="45">
        <f t="shared" si="11"/>
        <v>13366</v>
      </c>
      <c r="Q34" s="45">
        <f t="shared" si="18"/>
        <v>80196.319587628866</v>
      </c>
      <c r="R34" s="45">
        <f t="shared" si="20"/>
        <v>80200</v>
      </c>
    </row>
    <row r="35" spans="1:42" ht="71.25" customHeight="1">
      <c r="A35" s="87" t="s">
        <v>108</v>
      </c>
      <c r="B35" s="98" t="s">
        <v>164</v>
      </c>
      <c r="C35" s="72" t="s">
        <v>74</v>
      </c>
      <c r="D35" s="44">
        <f>SUM('2.1зпл дезинс'!F27)</f>
        <v>470.8</v>
      </c>
      <c r="E35" s="44">
        <f t="shared" si="19"/>
        <v>43.3</v>
      </c>
      <c r="F35" s="16">
        <f t="shared" si="12"/>
        <v>175.20000000000002</v>
      </c>
      <c r="G35" s="44">
        <f t="shared" si="13"/>
        <v>174.8</v>
      </c>
      <c r="H35" s="44">
        <f t="shared" si="9"/>
        <v>0.4</v>
      </c>
      <c r="I35" s="44">
        <f t="shared" si="14"/>
        <v>431.3</v>
      </c>
      <c r="J35" s="44">
        <f t="shared" si="15"/>
        <v>1120.6000000000001</v>
      </c>
      <c r="K35" s="45">
        <v>30</v>
      </c>
      <c r="L35" s="44">
        <f t="shared" si="16"/>
        <v>1456.7800000000002</v>
      </c>
      <c r="M35" s="44">
        <f t="shared" si="10"/>
        <v>45.055051546391752</v>
      </c>
      <c r="N35" s="45">
        <f t="shared" si="17"/>
        <v>1501.8350515463919</v>
      </c>
      <c r="O35" s="45">
        <v>20</v>
      </c>
      <c r="P35" s="45">
        <f t="shared" si="11"/>
        <v>300</v>
      </c>
      <c r="Q35" s="45">
        <f t="shared" si="18"/>
        <v>1801.8350515463919</v>
      </c>
      <c r="R35" s="45">
        <f t="shared" si="20"/>
        <v>1800</v>
      </c>
    </row>
    <row r="36" spans="1:42" ht="87" customHeight="1">
      <c r="A36" s="87" t="s">
        <v>109</v>
      </c>
      <c r="B36" s="98" t="s">
        <v>167</v>
      </c>
      <c r="C36" s="72" t="s">
        <v>74</v>
      </c>
      <c r="D36" s="44">
        <f>SUM('2.1зпл дезинс'!F28)</f>
        <v>2589.4</v>
      </c>
      <c r="E36" s="44">
        <f t="shared" si="19"/>
        <v>238.2</v>
      </c>
      <c r="F36" s="16">
        <f t="shared" si="12"/>
        <v>963.69999999999993</v>
      </c>
      <c r="G36" s="44">
        <f t="shared" si="13"/>
        <v>961.4</v>
      </c>
      <c r="H36" s="44">
        <f t="shared" si="9"/>
        <v>2.2999999999999998</v>
      </c>
      <c r="I36" s="44">
        <f t="shared" si="14"/>
        <v>2371.9</v>
      </c>
      <c r="J36" s="44">
        <f t="shared" si="15"/>
        <v>6163.2</v>
      </c>
      <c r="K36" s="45">
        <v>30</v>
      </c>
      <c r="L36" s="44">
        <f t="shared" si="16"/>
        <v>8012.16</v>
      </c>
      <c r="M36" s="44">
        <f t="shared" si="10"/>
        <v>247.79876288659793</v>
      </c>
      <c r="N36" s="45">
        <f t="shared" si="17"/>
        <v>8259.9587628865975</v>
      </c>
      <c r="O36" s="45">
        <v>20</v>
      </c>
      <c r="P36" s="45">
        <f t="shared" si="11"/>
        <v>1652</v>
      </c>
      <c r="Q36" s="45">
        <f t="shared" si="18"/>
        <v>9911.9587628865975</v>
      </c>
      <c r="R36" s="45">
        <f t="shared" si="20"/>
        <v>9910</v>
      </c>
    </row>
    <row r="37" spans="1:42" ht="110.25" customHeight="1">
      <c r="A37" s="87" t="s">
        <v>110</v>
      </c>
      <c r="B37" s="98" t="s">
        <v>163</v>
      </c>
      <c r="C37" s="72" t="s">
        <v>115</v>
      </c>
      <c r="D37" s="44">
        <f>SUM('2.1зпл дезинс'!F29)</f>
        <v>87568.8</v>
      </c>
      <c r="E37" s="44">
        <f t="shared" si="19"/>
        <v>8056.3</v>
      </c>
      <c r="F37" s="16">
        <f t="shared" si="12"/>
        <v>32589</v>
      </c>
      <c r="G37" s="44">
        <f t="shared" si="13"/>
        <v>32512.5</v>
      </c>
      <c r="H37" s="44">
        <f t="shared" si="9"/>
        <v>76.5</v>
      </c>
      <c r="I37" s="44">
        <f t="shared" si="14"/>
        <v>80213</v>
      </c>
      <c r="J37" s="44">
        <f t="shared" si="15"/>
        <v>208427.1</v>
      </c>
      <c r="K37" s="45">
        <v>30</v>
      </c>
      <c r="L37" s="44">
        <f t="shared" si="16"/>
        <v>270955.23</v>
      </c>
      <c r="M37" s="44">
        <f t="shared" si="10"/>
        <v>8380.0586597938145</v>
      </c>
      <c r="N37" s="45">
        <f t="shared" si="17"/>
        <v>279335.28865979379</v>
      </c>
      <c r="O37" s="45">
        <v>20</v>
      </c>
      <c r="P37" s="45">
        <f t="shared" si="11"/>
        <v>55867</v>
      </c>
      <c r="Q37" s="45">
        <f t="shared" si="18"/>
        <v>335202.28865979379</v>
      </c>
      <c r="R37" s="45">
        <f t="shared" si="20"/>
        <v>335200</v>
      </c>
    </row>
    <row r="38" spans="1:42" ht="69.75" customHeight="1">
      <c r="A38" s="87" t="s">
        <v>111</v>
      </c>
      <c r="B38" s="98" t="s">
        <v>112</v>
      </c>
      <c r="C38" s="72" t="s">
        <v>74</v>
      </c>
      <c r="D38" s="44">
        <f>SUM('2.1зпл дезинс'!F30)</f>
        <v>26129.4</v>
      </c>
      <c r="E38" s="44">
        <f t="shared" si="19"/>
        <v>2403.9</v>
      </c>
      <c r="F38" s="16">
        <f t="shared" si="12"/>
        <v>9724.0999999999985</v>
      </c>
      <c r="G38" s="44">
        <f t="shared" si="13"/>
        <v>9701.2999999999993</v>
      </c>
      <c r="H38" s="44">
        <f t="shared" si="9"/>
        <v>22.8</v>
      </c>
      <c r="I38" s="44">
        <f t="shared" si="14"/>
        <v>23934.5</v>
      </c>
      <c r="J38" s="44">
        <f t="shared" si="15"/>
        <v>62191.9</v>
      </c>
      <c r="K38" s="45">
        <v>30</v>
      </c>
      <c r="L38" s="44">
        <f t="shared" si="16"/>
        <v>80849.47</v>
      </c>
      <c r="M38" s="44">
        <f t="shared" si="10"/>
        <v>2500.4990721649483</v>
      </c>
      <c r="N38" s="45">
        <f t="shared" si="17"/>
        <v>83349.969072164953</v>
      </c>
      <c r="O38" s="45">
        <v>20</v>
      </c>
      <c r="P38" s="45">
        <f t="shared" si="11"/>
        <v>16670</v>
      </c>
      <c r="Q38" s="45">
        <f t="shared" si="18"/>
        <v>100019.96907216495</v>
      </c>
      <c r="R38" s="45">
        <f t="shared" si="20"/>
        <v>100020</v>
      </c>
    </row>
    <row r="41" spans="1:42" ht="15.75">
      <c r="B41" t="s">
        <v>116</v>
      </c>
      <c r="C41" s="107" t="s">
        <v>257</v>
      </c>
    </row>
  </sheetData>
  <mergeCells count="7">
    <mergeCell ref="B29:R29"/>
    <mergeCell ref="B8:P8"/>
    <mergeCell ref="A7:P7"/>
    <mergeCell ref="T11:W11"/>
    <mergeCell ref="B12:R12"/>
    <mergeCell ref="B17:R17"/>
    <mergeCell ref="B25:R25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</vt:i4>
      </vt:variant>
    </vt:vector>
  </HeadingPairs>
  <TitlesOfParts>
    <vt:vector size="18" baseType="lpstr">
      <vt:lpstr>Справ. инф</vt:lpstr>
      <vt:lpstr> накл. расходы  </vt:lpstr>
      <vt:lpstr>Расчет доп. ФОТ </vt:lpstr>
      <vt:lpstr>з.пл. за 1 мин. </vt:lpstr>
      <vt:lpstr>3.1 зпл.дезинф.</vt:lpstr>
      <vt:lpstr>2.1зпл дезинс</vt:lpstr>
      <vt:lpstr>1.1 зпл.дерат.</vt:lpstr>
      <vt:lpstr>3.1. план.кальк.дезинф</vt:lpstr>
      <vt:lpstr>2.1. план.каль.дезинс.</vt:lpstr>
      <vt:lpstr> 1.1.план. кальк.дерат</vt:lpstr>
      <vt:lpstr>З.П.Упр и всп пер</vt:lpstr>
      <vt:lpstr>транспорт</vt:lpstr>
      <vt:lpstr>нора расх мат</vt:lpstr>
      <vt:lpstr>прейскурант</vt:lpstr>
      <vt:lpstr>Лист2</vt:lpstr>
      <vt:lpstr>Лист1</vt:lpstr>
      <vt:lpstr>' накл. расходы  '!Область_печати</vt:lpstr>
      <vt:lpstr>'Справ. инф'!Область_печати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2018-05-23T11:17:12Z</cp:lastPrinted>
  <dcterms:created xsi:type="dcterms:W3CDTF">1996-10-08T23:32:33Z</dcterms:created>
  <dcterms:modified xsi:type="dcterms:W3CDTF">2018-05-23T11:20:39Z</dcterms:modified>
</cp:coreProperties>
</file>